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LunnA1\Downloads\"/>
    </mc:Choice>
  </mc:AlternateContent>
  <xr:revisionPtr revIDLastSave="0" documentId="13_ncr:1_{052AE9D2-A261-41BA-A6F3-F2E5622A38FF}" xr6:coauthVersionLast="47" xr6:coauthVersionMax="47" xr10:uidLastSave="{00000000-0000-0000-0000-000000000000}"/>
  <bookViews>
    <workbookView xWindow="28680" yWindow="-120" windowWidth="29040" windowHeight="15720" tabRatio="865" xr2:uid="{CDCE4AAF-2DB2-495B-96C5-C8F6BF4537CB}"/>
  </bookViews>
  <sheets>
    <sheet name="PVI Early Years" sheetId="119" r:id="rId1"/>
    <sheet name="Schools Summary" sheetId="114" r:id="rId2"/>
    <sheet name="Schools Block" sheetId="84" r:id="rId3"/>
    <sheet name="Early Years" sheetId="109" r:id="rId4"/>
    <sheet name="Special &amp; PRU" sheetId="127" r:id="rId5"/>
    <sheet name="ERS" sheetId="128" r:id="rId6"/>
    <sheet name="Adjusted Factors" sheetId="130" state="veryHidden" r:id="rId7"/>
    <sheet name="High Needs" sheetId="134" state="veryHidden" r:id="rId8"/>
    <sheet name="ISB new" sheetId="100" state="veryHidden" r:id="rId9"/>
    <sheet name="De-del" sheetId="103" state="veryHidden" r:id="rId10"/>
    <sheet name="3&amp;4 Yo" sheetId="122" state="veryHidden" r:id="rId11"/>
    <sheet name="Additional Support 2 yo" sheetId="123" state="veryHidden" r:id="rId12"/>
    <sheet name="Working 2 yo" sheetId="124" state="veryHidden" r:id="rId13"/>
    <sheet name="Under 2s" sheetId="125" state="veryHidden" r:id="rId14"/>
    <sheet name="Combined Lookup" sheetId="115" state="veryHidden" r:id="rId15"/>
    <sheet name="Schools Lookup" sheetId="112" state="veryHidden" r:id="rId16"/>
    <sheet name="PVI Provider Lookup" sheetId="35" state="veryHidden" r:id="rId17"/>
    <sheet name="Special Schools List" sheetId="38" state="veryHidden" r:id="rId18"/>
    <sheet name="Lookup list backup" sheetId="113" state="veryHidden" r:id="rId19"/>
    <sheet name="Factor Values" sheetId="131" state="veryHidden" r:id="rId20"/>
  </sheets>
  <definedNames>
    <definedName name="_xlnm._FilterDatabase" localSheetId="10" hidden="1">'3&amp;4 Yo'!$A$4:$AX$217</definedName>
    <definedName name="_xlnm._FilterDatabase" localSheetId="11" hidden="1">'Additional Support 2 yo'!$A$4:$N$219</definedName>
    <definedName name="_xlnm._FilterDatabase" localSheetId="14" hidden="1">'Combined Lookup'!$A$6:$D$265</definedName>
    <definedName name="_xlnm._FilterDatabase" localSheetId="7" hidden="1">'High Needs'!$A$3:$AK$36</definedName>
    <definedName name="_xlnm._FilterDatabase" localSheetId="8" hidden="1">'ISB new'!$A$8:$BY$100</definedName>
    <definedName name="_xlnm._FilterDatabase" localSheetId="16" hidden="1">'PVI Provider Lookup'!$A$6:$E$182</definedName>
    <definedName name="_xlnm._FilterDatabase" localSheetId="15" hidden="1">'Schools Lookup'!$A$6:$AB$105</definedName>
    <definedName name="_xlnm._FilterDatabase" localSheetId="13" hidden="1">'Under 2s'!$A$4:$N$221</definedName>
    <definedName name="_xlnm._FilterDatabase" localSheetId="12" hidden="1">'Working 2 yo'!$A$4:$N$225</definedName>
    <definedName name="Early_Years_Budget_Detail_2024_25" localSheetId="0">'PVI Early Years'!$B$8</definedName>
    <definedName name="Early_Years_Budget_Detail_2024_25">'Early Years'!$B$8</definedName>
    <definedName name="Fringe_multiplier">#REF!</definedName>
    <definedName name="Main_Summary">'Schools Summary'!$B$12</definedName>
    <definedName name="_xlnm.Print_Area" localSheetId="3">'Early Years'!$A$1:$I$31</definedName>
    <definedName name="_xlnm.Print_Area" localSheetId="0">'PVI Early Years'!$A$1:$I$28</definedName>
    <definedName name="_xlnm.Print_Area" localSheetId="2">'Schools Block'!$B$1:$L$84</definedName>
    <definedName name="_xlnm.Print_Area" localSheetId="4">'Special &amp; PRU'!$A$1:$L$19</definedName>
    <definedName name="Schools_Block_Budget_Detail_2024_25">'Schools Block'!$B$7</definedName>
    <definedName name="TableName">"Dummy"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09" l="1"/>
  <c r="G16" i="109"/>
  <c r="E16" i="109"/>
  <c r="CA14" i="100"/>
  <c r="CA12" i="100"/>
  <c r="CA10" i="100" l="1"/>
  <c r="CA11" i="100" l="1"/>
  <c r="CA13" i="100"/>
  <c r="CA15" i="100"/>
  <c r="CA17" i="100" l="1"/>
  <c r="CA19" i="100"/>
  <c r="CA65" i="100"/>
  <c r="CA37" i="100"/>
  <c r="CA95" i="100"/>
  <c r="CA90" i="100"/>
  <c r="CA91" i="100"/>
  <c r="CA55" i="100"/>
  <c r="CA69" i="100"/>
  <c r="CA94" i="100"/>
  <c r="CA96" i="100"/>
  <c r="CA48" i="100"/>
  <c r="CA70" i="100"/>
  <c r="CA93" i="100"/>
  <c r="CA40" i="100"/>
  <c r="CA52" i="100"/>
  <c r="CA63" i="100"/>
  <c r="CA45" i="100"/>
  <c r="CA66" i="100"/>
  <c r="CA99" i="100"/>
  <c r="CA61" i="100"/>
  <c r="CA82" i="100"/>
  <c r="CA49" i="100"/>
  <c r="CA87" i="100"/>
  <c r="CA44" i="100"/>
  <c r="CA54" i="100"/>
  <c r="CA51" i="100"/>
  <c r="CA81" i="100"/>
  <c r="CA97" i="100"/>
  <c r="CA85" i="100"/>
  <c r="CA39" i="100"/>
  <c r="CA68" i="100"/>
  <c r="CA64" i="100"/>
  <c r="CA50" i="100"/>
  <c r="CA59" i="100"/>
  <c r="CA77" i="100"/>
  <c r="CA53" i="100"/>
  <c r="CA92" i="100"/>
  <c r="CA79" i="100"/>
  <c r="CA73" i="100"/>
  <c r="CA71" i="100"/>
  <c r="CA80" i="100"/>
  <c r="CA78" i="100"/>
  <c r="CA75" i="100"/>
  <c r="CA43" i="100"/>
  <c r="CA72" i="100"/>
  <c r="CA86" i="100"/>
  <c r="CA47" i="100"/>
  <c r="CA58" i="100"/>
  <c r="CA56" i="100"/>
  <c r="CA41" i="100"/>
  <c r="CA74" i="100"/>
  <c r="CA16" i="100"/>
  <c r="CA89" i="100"/>
  <c r="CA46" i="100"/>
  <c r="CA62" i="100"/>
  <c r="CA84" i="100"/>
  <c r="CA57" i="100"/>
  <c r="CA42" i="100"/>
  <c r="CA98" i="100"/>
  <c r="CA76" i="100"/>
  <c r="CA67" i="100"/>
  <c r="CA88" i="100"/>
  <c r="CA83" i="100"/>
  <c r="CA60" i="100"/>
  <c r="CA38" i="100"/>
  <c r="CA36" i="100"/>
  <c r="CA22" i="100" l="1"/>
  <c r="CA26" i="100"/>
  <c r="CA35" i="100"/>
  <c r="CA30" i="100"/>
  <c r="CA33" i="100"/>
  <c r="CA24" i="100"/>
  <c r="CA34" i="100"/>
  <c r="CA32" i="100"/>
  <c r="CA18" i="100"/>
  <c r="CA23" i="100"/>
  <c r="CA20" i="100"/>
  <c r="CA31" i="100"/>
  <c r="CA28" i="100"/>
  <c r="CA25" i="100"/>
  <c r="CA21" i="100"/>
  <c r="CA29" i="100"/>
  <c r="CA27" i="100"/>
  <c r="CA9" i="100"/>
  <c r="N5" i="130" l="1"/>
  <c r="O5" i="130"/>
  <c r="P5" i="130"/>
  <c r="Q5" i="130"/>
  <c r="R5" i="130"/>
  <c r="S5" i="130"/>
  <c r="T5" i="130"/>
  <c r="U5" i="130"/>
  <c r="V5" i="130"/>
  <c r="W5" i="130"/>
  <c r="X5" i="130"/>
  <c r="Y5" i="130"/>
  <c r="Z5" i="130"/>
  <c r="AA5" i="130"/>
  <c r="AB5" i="130"/>
  <c r="AC5" i="130"/>
  <c r="AD5" i="130"/>
  <c r="AE5" i="130"/>
  <c r="AF5" i="130"/>
  <c r="AG5" i="130"/>
  <c r="AH5" i="130"/>
  <c r="AI5" i="130"/>
  <c r="AJ5" i="130"/>
  <c r="AK5" i="130"/>
  <c r="AL5" i="130"/>
  <c r="AM5" i="130"/>
  <c r="AN5" i="130"/>
  <c r="AO5" i="130"/>
  <c r="AP5" i="130"/>
  <c r="AQ5" i="130"/>
  <c r="AR5" i="130"/>
  <c r="AS5" i="130"/>
  <c r="AT5" i="130"/>
  <c r="AU5" i="130"/>
  <c r="AV5" i="130"/>
  <c r="AW5" i="130"/>
  <c r="AX5" i="130"/>
  <c r="AY5" i="130"/>
  <c r="AZ5" i="130"/>
  <c r="BA5" i="130"/>
  <c r="BB5" i="130"/>
  <c r="M5" i="130"/>
  <c r="F11" i="128"/>
  <c r="D18" i="128" l="1"/>
  <c r="C18" i="128"/>
  <c r="D17" i="128"/>
  <c r="C17" i="128"/>
  <c r="D16" i="128"/>
  <c r="C16" i="128"/>
  <c r="D15" i="128"/>
  <c r="C15" i="128"/>
  <c r="D14" i="128"/>
  <c r="C14" i="128"/>
  <c r="D13" i="128"/>
  <c r="C13" i="128"/>
  <c r="D12" i="128"/>
  <c r="C12" i="128"/>
  <c r="D11" i="128"/>
  <c r="C11" i="128"/>
  <c r="D10" i="128"/>
  <c r="C10" i="128"/>
  <c r="D9" i="128"/>
  <c r="C9" i="128"/>
  <c r="D8" i="128"/>
  <c r="C8" i="128"/>
  <c r="D7" i="128"/>
  <c r="C7" i="128"/>
  <c r="I11" i="127"/>
  <c r="C15" i="127"/>
  <c r="D13" i="127"/>
  <c r="C13" i="127"/>
  <c r="F12" i="127"/>
  <c r="E12" i="127"/>
  <c r="D12" i="127"/>
  <c r="C12" i="127"/>
  <c r="F11" i="127"/>
  <c r="E11" i="127"/>
  <c r="D11" i="127"/>
  <c r="C11" i="127"/>
  <c r="D10" i="127"/>
  <c r="C10" i="127"/>
  <c r="D9" i="127"/>
  <c r="C9" i="127"/>
  <c r="F8" i="127"/>
  <c r="E8" i="127"/>
  <c r="D8" i="127"/>
  <c r="C8" i="127"/>
  <c r="F7" i="127"/>
  <c r="D7" i="127"/>
  <c r="E7" i="127"/>
  <c r="C7" i="127"/>
  <c r="W48" i="134"/>
  <c r="X45" i="134"/>
  <c r="W45" i="134"/>
  <c r="G45" i="134"/>
  <c r="G44" i="134"/>
  <c r="G46" i="134" s="1"/>
  <c r="X41" i="134"/>
  <c r="W41" i="134"/>
  <c r="N41" i="134"/>
  <c r="K41" i="134"/>
  <c r="J41" i="134"/>
  <c r="I41" i="134"/>
  <c r="G41" i="134"/>
  <c r="H16" i="127"/>
  <c r="T39" i="134"/>
  <c r="AA39" i="134" s="1"/>
  <c r="R39" i="134"/>
  <c r="L39" i="134"/>
  <c r="AI38" i="134"/>
  <c r="H15" i="127"/>
  <c r="R38" i="134"/>
  <c r="AA38" i="134" s="1"/>
  <c r="L38" i="134"/>
  <c r="H13" i="127"/>
  <c r="AH37" i="134"/>
  <c r="AI37" i="134" s="1"/>
  <c r="R37" i="134"/>
  <c r="L37" i="134"/>
  <c r="H12" i="127"/>
  <c r="R36" i="134"/>
  <c r="M36" i="134"/>
  <c r="H11" i="127"/>
  <c r="AA35" i="134"/>
  <c r="R35" i="134"/>
  <c r="H10" i="127"/>
  <c r="R34" i="134"/>
  <c r="M34" i="134"/>
  <c r="H9" i="127"/>
  <c r="R33" i="134"/>
  <c r="L33" i="134"/>
  <c r="M33" i="134"/>
  <c r="AA32" i="134"/>
  <c r="M32" i="134"/>
  <c r="L32" i="134"/>
  <c r="R31" i="134"/>
  <c r="Y41" i="134"/>
  <c r="H7" i="127"/>
  <c r="R30" i="134"/>
  <c r="R41" i="134" s="1"/>
  <c r="Z28" i="134"/>
  <c r="AA28" i="134" s="1"/>
  <c r="Z27" i="134"/>
  <c r="AA27" i="134" s="1"/>
  <c r="Z26" i="134"/>
  <c r="AA26" i="134" s="1"/>
  <c r="Z25" i="134"/>
  <c r="Z41" i="134" s="1"/>
  <c r="AA24" i="134"/>
  <c r="Q23" i="134"/>
  <c r="M23" i="134"/>
  <c r="L23" i="134"/>
  <c r="Q22" i="134"/>
  <c r="M22" i="134"/>
  <c r="L22" i="134"/>
  <c r="P22" i="134" s="1"/>
  <c r="Q21" i="134"/>
  <c r="M21" i="134"/>
  <c r="Q20" i="134"/>
  <c r="L20" i="134"/>
  <c r="Q19" i="134"/>
  <c r="M19" i="134"/>
  <c r="Q18" i="134"/>
  <c r="L18" i="134"/>
  <c r="Q17" i="134"/>
  <c r="M17" i="134"/>
  <c r="Q16" i="134"/>
  <c r="L16" i="134"/>
  <c r="Q15" i="134"/>
  <c r="M15" i="134"/>
  <c r="Q14" i="134"/>
  <c r="M14" i="134"/>
  <c r="Q13" i="134"/>
  <c r="M13" i="134"/>
  <c r="Q12" i="134"/>
  <c r="M12" i="134"/>
  <c r="Q11" i="134"/>
  <c r="L11" i="134"/>
  <c r="P11" i="134" s="1"/>
  <c r="AA11" i="134" s="1"/>
  <c r="Q10" i="134"/>
  <c r="M10" i="134"/>
  <c r="Q9" i="134"/>
  <c r="Q41" i="134" s="1"/>
  <c r="L9" i="134"/>
  <c r="AA8" i="134"/>
  <c r="AA7" i="134"/>
  <c r="AA6" i="134"/>
  <c r="AA5" i="134"/>
  <c r="S41" i="134"/>
  <c r="F41" i="134"/>
  <c r="M18" i="134" l="1"/>
  <c r="L19" i="134"/>
  <c r="P23" i="134"/>
  <c r="AA23" i="134" s="1"/>
  <c r="AA31" i="134"/>
  <c r="M9" i="134"/>
  <c r="L10" i="134"/>
  <c r="M20" i="134"/>
  <c r="M11" i="134"/>
  <c r="AA33" i="134"/>
  <c r="AA36" i="134"/>
  <c r="V41" i="134"/>
  <c r="M16" i="134"/>
  <c r="L17" i="134"/>
  <c r="AH36" i="134"/>
  <c r="AI36" i="134" s="1"/>
  <c r="U41" i="134"/>
  <c r="AA22" i="134"/>
  <c r="AH34" i="134"/>
  <c r="AI34" i="134" s="1"/>
  <c r="H8" i="127"/>
  <c r="G13" i="127"/>
  <c r="K13" i="127"/>
  <c r="P20" i="134"/>
  <c r="AA20" i="134" s="1"/>
  <c r="P16" i="134"/>
  <c r="AH33" i="134"/>
  <c r="AI33" i="134" s="1"/>
  <c r="P18" i="134"/>
  <c r="P9" i="134"/>
  <c r="L12" i="134"/>
  <c r="L41" i="134" s="1"/>
  <c r="L14" i="134"/>
  <c r="L21" i="134"/>
  <c r="AA34" i="134"/>
  <c r="M35" i="134"/>
  <c r="AH35" i="134" s="1"/>
  <c r="AI35" i="134" s="1"/>
  <c r="AA37" i="134"/>
  <c r="AA25" i="134"/>
  <c r="L30" i="134"/>
  <c r="AA30" i="134"/>
  <c r="M31" i="134"/>
  <c r="M30" i="134"/>
  <c r="L13" i="134"/>
  <c r="L15" i="134"/>
  <c r="P17" i="134" l="1"/>
  <c r="AA17" i="134" s="1"/>
  <c r="P10" i="134"/>
  <c r="AA10" i="134" s="1"/>
  <c r="M41" i="134"/>
  <c r="P19" i="134"/>
  <c r="AA19" i="134" s="1"/>
  <c r="AH30" i="134"/>
  <c r="AI30" i="134" s="1"/>
  <c r="P12" i="134"/>
  <c r="AA12" i="134" s="1"/>
  <c r="AA16" i="134"/>
  <c r="P15" i="134"/>
  <c r="T41" i="134"/>
  <c r="AH31" i="134"/>
  <c r="AI31" i="134" s="1"/>
  <c r="P13" i="134"/>
  <c r="AA13" i="134" s="1"/>
  <c r="P14" i="134"/>
  <c r="AA14" i="134" s="1"/>
  <c r="AA9" i="134"/>
  <c r="P21" i="134"/>
  <c r="AA21" i="134" s="1"/>
  <c r="AA18" i="134"/>
  <c r="P41" i="134" l="1"/>
  <c r="AA41" i="134"/>
  <c r="E14" i="103" l="1"/>
  <c r="F14" i="103"/>
  <c r="E15" i="103"/>
  <c r="F15" i="103"/>
  <c r="E16" i="103"/>
  <c r="F16" i="103"/>
  <c r="E17" i="103"/>
  <c r="F17" i="103"/>
  <c r="E18" i="103"/>
  <c r="F18" i="103"/>
  <c r="E19" i="103"/>
  <c r="F19" i="103"/>
  <c r="E20" i="103"/>
  <c r="F20" i="103"/>
  <c r="E21" i="103"/>
  <c r="F21" i="103"/>
  <c r="E22" i="103"/>
  <c r="F22" i="103"/>
  <c r="E23" i="103"/>
  <c r="F23" i="103"/>
  <c r="E24" i="103"/>
  <c r="F24" i="103"/>
  <c r="E25" i="103"/>
  <c r="F25" i="103"/>
  <c r="E26" i="103"/>
  <c r="F26" i="103"/>
  <c r="E27" i="103"/>
  <c r="F27" i="103"/>
  <c r="E28" i="103"/>
  <c r="F28" i="103"/>
  <c r="E29" i="103"/>
  <c r="F29" i="103"/>
  <c r="E30" i="103"/>
  <c r="F30" i="103"/>
  <c r="E31" i="103"/>
  <c r="F31" i="103"/>
  <c r="E32" i="103"/>
  <c r="F32" i="103"/>
  <c r="E33" i="103"/>
  <c r="F33" i="103"/>
  <c r="E34" i="103"/>
  <c r="F34" i="103"/>
  <c r="E35" i="103"/>
  <c r="F35" i="103"/>
  <c r="E36" i="103"/>
  <c r="F36" i="103"/>
  <c r="E37" i="103"/>
  <c r="F37" i="103"/>
  <c r="E38" i="103"/>
  <c r="F38" i="103"/>
  <c r="F13" i="103"/>
  <c r="E13" i="103"/>
  <c r="F61" i="122" l="1"/>
  <c r="G61" i="122"/>
  <c r="H61" i="122"/>
  <c r="I61" i="122"/>
  <c r="J61" i="122"/>
  <c r="K61" i="122"/>
  <c r="L61" i="122"/>
  <c r="M61" i="122"/>
  <c r="N61" i="122"/>
  <c r="O61" i="122"/>
  <c r="P61" i="122"/>
  <c r="Q61" i="122"/>
  <c r="R61" i="122"/>
  <c r="S61" i="122"/>
  <c r="T61" i="122"/>
  <c r="U61" i="122"/>
  <c r="V61" i="122"/>
  <c r="W61" i="122"/>
  <c r="X61" i="122"/>
  <c r="Y61" i="122"/>
  <c r="Z61" i="122"/>
  <c r="AA61" i="122"/>
  <c r="AB61" i="122"/>
  <c r="AC61" i="122"/>
  <c r="AD61" i="122"/>
  <c r="AE61" i="122"/>
  <c r="AF61" i="122"/>
  <c r="AG61" i="122"/>
  <c r="AH61" i="122"/>
  <c r="AI61" i="122"/>
  <c r="AJ61" i="122"/>
  <c r="AK61" i="122"/>
  <c r="AL61" i="122"/>
  <c r="AM61" i="122"/>
  <c r="AN61" i="122"/>
  <c r="AO61" i="122"/>
  <c r="AP61" i="122"/>
  <c r="AQ61" i="122"/>
  <c r="AR61" i="122"/>
  <c r="AS61" i="122"/>
  <c r="AT61" i="122"/>
  <c r="AU61" i="122"/>
  <c r="AV61" i="122"/>
  <c r="E61" i="122"/>
  <c r="O8" i="103" l="1"/>
  <c r="Q8" i="103"/>
  <c r="S8" i="103" s="1"/>
  <c r="U8" i="103" s="1"/>
  <c r="R9" i="103"/>
  <c r="T9" i="103" s="1"/>
  <c r="U9" i="103" s="1"/>
  <c r="A97" i="112"/>
  <c r="AX13" i="122"/>
  <c r="A8" i="112" l="1"/>
  <c r="A9" i="112"/>
  <c r="A10" i="112"/>
  <c r="A11" i="112"/>
  <c r="A12" i="112"/>
  <c r="A13" i="112"/>
  <c r="A14" i="112"/>
  <c r="A15" i="112"/>
  <c r="A16" i="112"/>
  <c r="A17" i="112"/>
  <c r="A18" i="112"/>
  <c r="A19" i="112"/>
  <c r="A20" i="112"/>
  <c r="A21" i="112"/>
  <c r="A22" i="112"/>
  <c r="A23" i="112"/>
  <c r="A24" i="112"/>
  <c r="A25" i="112"/>
  <c r="A26" i="112"/>
  <c r="A27" i="112"/>
  <c r="A28" i="112"/>
  <c r="A29" i="112"/>
  <c r="A30" i="112"/>
  <c r="A31" i="112"/>
  <c r="A32" i="112"/>
  <c r="A33" i="112"/>
  <c r="A34" i="112"/>
  <c r="A35" i="112"/>
  <c r="A36" i="112"/>
  <c r="A37" i="112"/>
  <c r="A38" i="112"/>
  <c r="A39" i="112"/>
  <c r="A40" i="112"/>
  <c r="A41" i="112"/>
  <c r="A42" i="112"/>
  <c r="A43" i="112"/>
  <c r="A44" i="112"/>
  <c r="A45" i="112"/>
  <c r="A46" i="112"/>
  <c r="A47" i="112"/>
  <c r="A48" i="112"/>
  <c r="A49" i="112"/>
  <c r="A50" i="112"/>
  <c r="A51" i="112"/>
  <c r="A52" i="112"/>
  <c r="A53" i="112"/>
  <c r="A54" i="112"/>
  <c r="A55" i="112"/>
  <c r="A56" i="112"/>
  <c r="A57" i="112"/>
  <c r="A58" i="112"/>
  <c r="A59" i="112"/>
  <c r="A60" i="112"/>
  <c r="A61" i="112"/>
  <c r="A62" i="112"/>
  <c r="A63" i="112"/>
  <c r="A64" i="112"/>
  <c r="A65" i="112"/>
  <c r="A66" i="112"/>
  <c r="A67" i="112"/>
  <c r="A68" i="112"/>
  <c r="A69" i="112"/>
  <c r="A70" i="112"/>
  <c r="A71" i="112"/>
  <c r="A72" i="112"/>
  <c r="A73" i="112"/>
  <c r="A74" i="112"/>
  <c r="A75" i="112"/>
  <c r="A76" i="112"/>
  <c r="A77" i="112"/>
  <c r="A78" i="112"/>
  <c r="A79" i="112"/>
  <c r="A80" i="112"/>
  <c r="A81" i="112"/>
  <c r="A82" i="112"/>
  <c r="A83" i="112"/>
  <c r="A84" i="112"/>
  <c r="A85" i="112"/>
  <c r="A86" i="112"/>
  <c r="A87" i="112"/>
  <c r="A88" i="112"/>
  <c r="A89" i="112"/>
  <c r="A90" i="112"/>
  <c r="A91" i="112"/>
  <c r="A92" i="112"/>
  <c r="A93" i="112"/>
  <c r="A94" i="112"/>
  <c r="A95" i="112"/>
  <c r="A96" i="112"/>
  <c r="A98" i="112"/>
  <c r="A99" i="112"/>
  <c r="A100" i="112"/>
  <c r="A101" i="112"/>
  <c r="A102" i="112"/>
  <c r="A103" i="112"/>
  <c r="A104" i="112"/>
  <c r="A105" i="112"/>
  <c r="A7" i="112"/>
  <c r="D15" i="127"/>
  <c r="F12" i="114" l="1"/>
  <c r="B11" i="84" s="1"/>
  <c r="G12" i="127"/>
  <c r="E45" i="84"/>
  <c r="E44" i="84"/>
  <c r="D42" i="84"/>
  <c r="D41" i="84"/>
  <c r="D39" i="84"/>
  <c r="D38" i="84"/>
  <c r="E29" i="84"/>
  <c r="E30" i="84"/>
  <c r="E31" i="84"/>
  <c r="E32" i="84"/>
  <c r="E33" i="84"/>
  <c r="E34" i="84"/>
  <c r="E35" i="84"/>
  <c r="E28" i="84"/>
  <c r="D29" i="84"/>
  <c r="D30" i="84"/>
  <c r="D31" i="84"/>
  <c r="D32" i="84"/>
  <c r="D33" i="84"/>
  <c r="D34" i="84"/>
  <c r="D35" i="84"/>
  <c r="D28" i="84"/>
  <c r="F20" i="84"/>
  <c r="E19" i="84"/>
  <c r="D18" i="84"/>
  <c r="D50" i="131"/>
  <c r="D49" i="131"/>
  <c r="D43" i="131"/>
  <c r="K12" i="127" l="1"/>
  <c r="F13" i="109"/>
  <c r="E18" i="109" s="1"/>
  <c r="G9" i="84"/>
  <c r="C17" i="114"/>
  <c r="K16" i="127"/>
  <c r="G18" i="84" l="1"/>
  <c r="G19" i="84"/>
  <c r="P18" i="84"/>
  <c r="P64" i="84"/>
  <c r="P59" i="84"/>
  <c r="P55" i="84"/>
  <c r="P53" i="84"/>
  <c r="P51" i="84"/>
  <c r="P49" i="84"/>
  <c r="P35" i="84"/>
  <c r="P25" i="84"/>
  <c r="F31" i="84"/>
  <c r="P34" i="84"/>
  <c r="P20" i="84"/>
  <c r="F30" i="84"/>
  <c r="P33" i="84"/>
  <c r="P19" i="84"/>
  <c r="G35" i="84"/>
  <c r="P44" i="84"/>
  <c r="P32" i="84"/>
  <c r="G34" i="84"/>
  <c r="P42" i="84"/>
  <c r="P31" i="84"/>
  <c r="F35" i="84"/>
  <c r="G33" i="84"/>
  <c r="P41" i="84"/>
  <c r="P30" i="84"/>
  <c r="F34" i="84"/>
  <c r="G32" i="84"/>
  <c r="P39" i="84"/>
  <c r="P29" i="84"/>
  <c r="F33" i="84"/>
  <c r="G31" i="84"/>
  <c r="P38" i="84"/>
  <c r="P28" i="84"/>
  <c r="F32" i="84"/>
  <c r="G30" i="84"/>
  <c r="P47" i="84"/>
  <c r="P45" i="84"/>
  <c r="G41" i="84"/>
  <c r="F29" i="84"/>
  <c r="G29" i="84"/>
  <c r="G45" i="84"/>
  <c r="G44" i="84"/>
  <c r="G28" i="84"/>
  <c r="F28" i="84"/>
  <c r="G42" i="84"/>
  <c r="G39" i="84"/>
  <c r="G38" i="84"/>
  <c r="D47" i="84"/>
  <c r="D53" i="84"/>
  <c r="D51" i="84"/>
  <c r="D49" i="84"/>
  <c r="I64" i="84"/>
  <c r="F17" i="109"/>
  <c r="H23" i="109"/>
  <c r="B13" i="109"/>
  <c r="H25" i="109"/>
  <c r="G20" i="84"/>
  <c r="G28" i="109"/>
  <c r="E17" i="109"/>
  <c r="G18" i="109"/>
  <c r="H24" i="109"/>
  <c r="F18" i="109"/>
  <c r="F28" i="109"/>
  <c r="E28" i="109"/>
  <c r="H27" i="109"/>
  <c r="G17" i="109"/>
  <c r="H36" i="103"/>
  <c r="G36" i="103"/>
  <c r="H28" i="109" l="1"/>
  <c r="H18" i="109"/>
  <c r="H17" i="109"/>
  <c r="N36" i="103"/>
  <c r="H18" i="84" l="1"/>
  <c r="F18" i="128" l="1"/>
  <c r="F15" i="128" l="1"/>
  <c r="F14" i="128"/>
  <c r="F7" i="128"/>
  <c r="F17" i="128"/>
  <c r="F13" i="128"/>
  <c r="F9" i="128"/>
  <c r="F10" i="128"/>
  <c r="F16" i="128"/>
  <c r="E12" i="128"/>
  <c r="F12" i="128"/>
  <c r="F8" i="128"/>
  <c r="E18" i="128"/>
  <c r="E9" i="128"/>
  <c r="E15" i="128"/>
  <c r="E11" i="128"/>
  <c r="G11" i="128" s="1"/>
  <c r="E10" i="128"/>
  <c r="E14" i="128"/>
  <c r="G14" i="128" s="1"/>
  <c r="E17" i="128"/>
  <c r="G17" i="128" s="1"/>
  <c r="E13" i="128"/>
  <c r="E7" i="128"/>
  <c r="G7" i="128" s="1"/>
  <c r="E16" i="128"/>
  <c r="E8" i="128"/>
  <c r="D20" i="128"/>
  <c r="C20" i="128"/>
  <c r="I18" i="127"/>
  <c r="F13" i="119"/>
  <c r="G13" i="128" l="1"/>
  <c r="G16" i="128"/>
  <c r="F20" i="128"/>
  <c r="G9" i="128"/>
  <c r="G18" i="128"/>
  <c r="G15" i="128"/>
  <c r="G8" i="128"/>
  <c r="G12" i="128"/>
  <c r="G10" i="128"/>
  <c r="E20" i="128"/>
  <c r="H25" i="119"/>
  <c r="F17" i="119"/>
  <c r="H24" i="119"/>
  <c r="F18" i="119"/>
  <c r="H23" i="119"/>
  <c r="E17" i="119"/>
  <c r="E18" i="119"/>
  <c r="G18" i="119"/>
  <c r="G17" i="119"/>
  <c r="H18" i="127"/>
  <c r="G11" i="127"/>
  <c r="K11" i="127" s="1"/>
  <c r="E18" i="127"/>
  <c r="F18" i="127"/>
  <c r="C18" i="127"/>
  <c r="G7" i="127"/>
  <c r="K7" i="127" s="1"/>
  <c r="G10" i="127"/>
  <c r="K10" i="127" s="1"/>
  <c r="D18" i="127"/>
  <c r="G15" i="127"/>
  <c r="G8" i="127"/>
  <c r="K8" i="127" s="1"/>
  <c r="G9" i="127"/>
  <c r="K9" i="127" s="1"/>
  <c r="G18" i="127" l="1"/>
  <c r="K15" i="127"/>
  <c r="H17" i="119"/>
  <c r="G20" i="128"/>
  <c r="H18" i="119"/>
  <c r="L230" i="122"/>
  <c r="K226" i="122"/>
  <c r="H223" i="122"/>
  <c r="I223" i="122" s="1"/>
  <c r="F223" i="122"/>
  <c r="G223" i="122" s="1"/>
  <c r="K18" i="127" l="1"/>
  <c r="L232" i="122"/>
  <c r="L229" i="122"/>
  <c r="L228" i="122"/>
  <c r="L227" i="122"/>
  <c r="L231" i="122"/>
  <c r="L233" i="122"/>
  <c r="L226" i="122" l="1"/>
  <c r="L211" i="125"/>
  <c r="K207" i="123"/>
  <c r="K206" i="123"/>
  <c r="K205" i="123"/>
  <c r="K204" i="123"/>
  <c r="K203" i="123"/>
  <c r="K202" i="123"/>
  <c r="K201" i="123"/>
  <c r="K200" i="123"/>
  <c r="K199" i="123"/>
  <c r="K198" i="123"/>
  <c r="K197" i="123"/>
  <c r="K196" i="123"/>
  <c r="K195" i="123"/>
  <c r="K194" i="123"/>
  <c r="K193" i="123"/>
  <c r="K192" i="123"/>
  <c r="K191" i="123"/>
  <c r="K190" i="123"/>
  <c r="K189" i="123"/>
  <c r="K188" i="123"/>
  <c r="K187" i="123"/>
  <c r="K186" i="123"/>
  <c r="K185" i="123"/>
  <c r="K184" i="123"/>
  <c r="K183" i="123"/>
  <c r="K181" i="123"/>
  <c r="K180" i="123"/>
  <c r="K179" i="123"/>
  <c r="K178" i="123"/>
  <c r="K177" i="123"/>
  <c r="K176" i="123"/>
  <c r="K175" i="123"/>
  <c r="K174" i="123"/>
  <c r="K173" i="123"/>
  <c r="K172" i="123"/>
  <c r="K171" i="123"/>
  <c r="K170" i="123"/>
  <c r="K169" i="123"/>
  <c r="K168" i="123"/>
  <c r="K167" i="123"/>
  <c r="K166" i="123"/>
  <c r="K165" i="123"/>
  <c r="K164" i="123"/>
  <c r="K163" i="123"/>
  <c r="K162" i="123"/>
  <c r="K161" i="123"/>
  <c r="K160" i="123"/>
  <c r="K159" i="123"/>
  <c r="K158" i="123"/>
  <c r="K157" i="123"/>
  <c r="K156" i="123"/>
  <c r="K155" i="123"/>
  <c r="K154" i="123"/>
  <c r="K153" i="123"/>
  <c r="K152" i="123"/>
  <c r="K151" i="123"/>
  <c r="K150" i="123"/>
  <c r="K149" i="123"/>
  <c r="K148" i="123"/>
  <c r="K147" i="123"/>
  <c r="K146" i="123"/>
  <c r="K145" i="123"/>
  <c r="K144" i="123"/>
  <c r="K143" i="123"/>
  <c r="K142" i="123"/>
  <c r="K141" i="123"/>
  <c r="K140" i="123"/>
  <c r="K139" i="123"/>
  <c r="K138" i="123"/>
  <c r="K137" i="123"/>
  <c r="K136" i="123"/>
  <c r="K135" i="123"/>
  <c r="K134" i="123"/>
  <c r="K133" i="123"/>
  <c r="K132" i="123"/>
  <c r="K131" i="123"/>
  <c r="K130" i="123"/>
  <c r="K129" i="123"/>
  <c r="K128" i="123"/>
  <c r="K127" i="123"/>
  <c r="K126" i="123"/>
  <c r="K125" i="123"/>
  <c r="K124" i="123"/>
  <c r="K123" i="123"/>
  <c r="K122" i="123"/>
  <c r="K121" i="123"/>
  <c r="K120" i="123"/>
  <c r="K119" i="123"/>
  <c r="K118" i="123"/>
  <c r="K117" i="123"/>
  <c r="K116" i="123"/>
  <c r="K115" i="123"/>
  <c r="K114" i="123"/>
  <c r="K113" i="123"/>
  <c r="K112" i="123"/>
  <c r="K111" i="123"/>
  <c r="K110" i="123"/>
  <c r="K109" i="123"/>
  <c r="K108" i="123"/>
  <c r="K107" i="123"/>
  <c r="K106" i="123"/>
  <c r="K105" i="123"/>
  <c r="K104" i="123"/>
  <c r="K103" i="123"/>
  <c r="K102" i="123"/>
  <c r="K101" i="123"/>
  <c r="K100" i="123"/>
  <c r="K99" i="123"/>
  <c r="K98" i="123"/>
  <c r="K97" i="123"/>
  <c r="K96" i="123"/>
  <c r="K95" i="123"/>
  <c r="K94" i="123"/>
  <c r="K93" i="123"/>
  <c r="K92" i="123"/>
  <c r="K91" i="123"/>
  <c r="K90" i="123"/>
  <c r="K89" i="123"/>
  <c r="K88" i="123"/>
  <c r="K87" i="123"/>
  <c r="K86" i="123"/>
  <c r="K85" i="123"/>
  <c r="K84" i="123"/>
  <c r="K83" i="123"/>
  <c r="K82" i="123"/>
  <c r="K81" i="123"/>
  <c r="K80" i="123"/>
  <c r="K79" i="123"/>
  <c r="K78" i="123"/>
  <c r="K77" i="123"/>
  <c r="K76" i="123"/>
  <c r="K75" i="123"/>
  <c r="K74" i="123"/>
  <c r="K73" i="123"/>
  <c r="K72" i="123"/>
  <c r="K71" i="123"/>
  <c r="K70" i="123"/>
  <c r="K69" i="123"/>
  <c r="K68" i="123"/>
  <c r="K67" i="123"/>
  <c r="K66" i="123"/>
  <c r="K65" i="123"/>
  <c r="K64" i="123"/>
  <c r="K63" i="123"/>
  <c r="K62" i="123"/>
  <c r="K61" i="123"/>
  <c r="K60" i="123"/>
  <c r="K59" i="123"/>
  <c r="K58" i="123"/>
  <c r="K57" i="123"/>
  <c r="K56" i="123"/>
  <c r="K55" i="123"/>
  <c r="K54" i="123"/>
  <c r="K53" i="123"/>
  <c r="K52" i="123"/>
  <c r="K51" i="123"/>
  <c r="K50" i="123"/>
  <c r="K49" i="123"/>
  <c r="K48" i="123"/>
  <c r="K47" i="123"/>
  <c r="K46" i="123"/>
  <c r="K45" i="123"/>
  <c r="K44" i="123"/>
  <c r="K43" i="123"/>
  <c r="K42" i="123"/>
  <c r="K41" i="123"/>
  <c r="K40" i="123"/>
  <c r="K39" i="123"/>
  <c r="K38" i="123"/>
  <c r="K37" i="123"/>
  <c r="K36" i="123"/>
  <c r="K35" i="123"/>
  <c r="K34" i="123"/>
  <c r="K33" i="123"/>
  <c r="K32" i="123"/>
  <c r="K31" i="123"/>
  <c r="K30" i="123"/>
  <c r="K29" i="123"/>
  <c r="K28" i="123"/>
  <c r="K27" i="123"/>
  <c r="K26" i="123"/>
  <c r="K25" i="123"/>
  <c r="K24" i="123"/>
  <c r="K23" i="123"/>
  <c r="K22" i="123"/>
  <c r="K21" i="123"/>
  <c r="K20" i="123"/>
  <c r="K19" i="123"/>
  <c r="K18" i="123"/>
  <c r="K17" i="123"/>
  <c r="K16" i="123"/>
  <c r="K15" i="123"/>
  <c r="K14" i="123"/>
  <c r="K13" i="123"/>
  <c r="K12" i="123"/>
  <c r="K11" i="123"/>
  <c r="K10" i="123"/>
  <c r="K9" i="123"/>
  <c r="K8" i="123"/>
  <c r="K7" i="123"/>
  <c r="K6" i="123"/>
  <c r="K5" i="123"/>
  <c r="K208" i="123" l="1"/>
  <c r="K209" i="123" s="1"/>
  <c r="N21" i="119" l="1"/>
  <c r="N25" i="119"/>
  <c r="N24" i="119"/>
  <c r="N19" i="119"/>
  <c r="N23" i="119"/>
  <c r="N17" i="119"/>
  <c r="N20" i="119"/>
  <c r="N26" i="119" l="1"/>
  <c r="O21" i="119" l="1"/>
  <c r="O20" i="119"/>
  <c r="O19" i="119"/>
  <c r="O25" i="119"/>
  <c r="O24" i="119"/>
  <c r="O23" i="119"/>
  <c r="O17" i="119"/>
  <c r="H45" i="84" l="1"/>
  <c r="H26" i="119"/>
  <c r="O26" i="119" s="1"/>
  <c r="H29" i="109" l="1"/>
  <c r="C18" i="114" s="1"/>
  <c r="E24" i="84" l="1"/>
  <c r="D23" i="84"/>
  <c r="E81" i="84" l="1"/>
  <c r="D81" i="84"/>
  <c r="E79" i="84"/>
  <c r="D79" i="84"/>
  <c r="E77" i="84"/>
  <c r="D77" i="84"/>
  <c r="E75" i="84"/>
  <c r="D75" i="84"/>
  <c r="E73" i="84"/>
  <c r="D73" i="84"/>
  <c r="F24" i="84" l="1"/>
  <c r="H49" i="84" l="1"/>
  <c r="H42" i="84" l="1"/>
  <c r="J42" i="84" s="1"/>
  <c r="H39" i="84"/>
  <c r="J39" i="84" s="1"/>
  <c r="H41" i="84"/>
  <c r="J41" i="84" s="1"/>
  <c r="H38" i="84"/>
  <c r="J38" i="84" s="1"/>
  <c r="H30" i="84" l="1"/>
  <c r="J30" i="84" s="1"/>
  <c r="H29" i="84"/>
  <c r="J29" i="84" s="1"/>
  <c r="H31" i="84"/>
  <c r="J31" i="84" s="1"/>
  <c r="H34" i="84"/>
  <c r="J34" i="84" s="1"/>
  <c r="G36" i="84"/>
  <c r="J45" i="84"/>
  <c r="H33" i="84"/>
  <c r="J33" i="84" s="1"/>
  <c r="H44" i="84"/>
  <c r="J44" i="84" s="1"/>
  <c r="H28" i="84"/>
  <c r="Q28" i="84" s="1"/>
  <c r="F36" i="84"/>
  <c r="H32" i="84"/>
  <c r="J32" i="84" s="1"/>
  <c r="H35" i="84"/>
  <c r="J35" i="84" s="1"/>
  <c r="J28" i="84" l="1"/>
  <c r="J36" i="84" s="1"/>
  <c r="H36" i="84"/>
  <c r="Q44" i="84" l="1"/>
  <c r="Q45" i="84"/>
  <c r="Q41" i="84"/>
  <c r="Q32" i="84"/>
  <c r="Q49" i="84"/>
  <c r="Q38" i="84"/>
  <c r="Q42" i="84"/>
  <c r="Q34" i="84"/>
  <c r="H53" i="84"/>
  <c r="Q35" i="84"/>
  <c r="Q29" i="84"/>
  <c r="Q39" i="84"/>
  <c r="Q31" i="84"/>
  <c r="Q30" i="84"/>
  <c r="H51" i="84"/>
  <c r="Q33" i="84"/>
  <c r="H47" i="84"/>
  <c r="Q51" i="84" l="1"/>
  <c r="Q53" i="84"/>
  <c r="Q47" i="84"/>
  <c r="P36" i="84"/>
  <c r="Q36" i="84"/>
  <c r="C23" i="114"/>
  <c r="Q64" i="84"/>
  <c r="H20" i="84" l="1"/>
  <c r="Q20" i="84" s="1"/>
  <c r="I23" i="103"/>
  <c r="T27" i="103"/>
  <c r="T35" i="103"/>
  <c r="S19" i="103"/>
  <c r="D44" i="84"/>
  <c r="H19" i="84"/>
  <c r="Q19" i="84" s="1"/>
  <c r="J24" i="103"/>
  <c r="I13" i="103"/>
  <c r="H29" i="103"/>
  <c r="M33" i="103"/>
  <c r="M29" i="103"/>
  <c r="M16" i="103"/>
  <c r="G30" i="103"/>
  <c r="J34" i="103"/>
  <c r="N22" i="103"/>
  <c r="N23" i="103"/>
  <c r="S37" i="103"/>
  <c r="I22" i="103"/>
  <c r="S31" i="103"/>
  <c r="O34" i="103"/>
  <c r="J30" i="103"/>
  <c r="J25" i="103"/>
  <c r="I18" i="103"/>
  <c r="H18" i="103"/>
  <c r="K17" i="103"/>
  <c r="T15" i="103"/>
  <c r="P37" i="103"/>
  <c r="M36" i="103"/>
  <c r="L13" i="103"/>
  <c r="S25" i="103"/>
  <c r="H32" i="103"/>
  <c r="O26" i="103"/>
  <c r="T26" i="103"/>
  <c r="S14" i="103"/>
  <c r="S32" i="103"/>
  <c r="J16" i="103"/>
  <c r="M35" i="103"/>
  <c r="K20" i="103"/>
  <c r="O24" i="103"/>
  <c r="J28" i="103"/>
  <c r="G28" i="103"/>
  <c r="T20" i="103"/>
  <c r="P17" i="103"/>
  <c r="O21" i="103"/>
  <c r="H21" i="103"/>
  <c r="I27" i="103"/>
  <c r="I15" i="103"/>
  <c r="H14" i="103"/>
  <c r="P19" i="103"/>
  <c r="L31" i="103"/>
  <c r="L33" i="103"/>
  <c r="S38" i="103" l="1"/>
  <c r="P38" i="103"/>
  <c r="G31" i="103"/>
  <c r="M24" i="103"/>
  <c r="T17" i="103"/>
  <c r="O16" i="103"/>
  <c r="I38" i="103"/>
  <c r="L38" i="103"/>
  <c r="I29" i="103"/>
  <c r="H31" i="103"/>
  <c r="S21" i="103"/>
  <c r="M27" i="103"/>
  <c r="O14" i="103"/>
  <c r="N21" i="103"/>
  <c r="P34" i="103"/>
  <c r="M22" i="103"/>
  <c r="M15" i="103"/>
  <c r="K28" i="103"/>
  <c r="S26" i="103"/>
  <c r="U26" i="103" s="1"/>
  <c r="S18" i="103"/>
  <c r="I16" i="103"/>
  <c r="P31" i="103"/>
  <c r="T31" i="103"/>
  <c r="U31" i="103" s="1"/>
  <c r="L28" i="103"/>
  <c r="T28" i="103"/>
  <c r="J32" i="103"/>
  <c r="N30" i="103"/>
  <c r="H34" i="103"/>
  <c r="L19" i="103"/>
  <c r="S27" i="103"/>
  <c r="U27" i="103" s="1"/>
  <c r="N28" i="103"/>
  <c r="O32" i="103"/>
  <c r="M26" i="103"/>
  <c r="H15" i="103"/>
  <c r="I37" i="103"/>
  <c r="N34" i="103"/>
  <c r="T19" i="103"/>
  <c r="U19" i="103" s="1"/>
  <c r="J21" i="103"/>
  <c r="I24" i="103"/>
  <c r="J15" i="103"/>
  <c r="P30" i="103"/>
  <c r="T14" i="103"/>
  <c r="U14" i="103" s="1"/>
  <c r="L30" i="103"/>
  <c r="N32" i="103"/>
  <c r="H30" i="103"/>
  <c r="K29" i="103"/>
  <c r="J19" i="84"/>
  <c r="H35" i="103"/>
  <c r="O38" i="103"/>
  <c r="K35" i="103"/>
  <c r="L36" i="103"/>
  <c r="P35" i="103"/>
  <c r="L14" i="103"/>
  <c r="N31" i="103"/>
  <c r="P21" i="103"/>
  <c r="M28" i="103"/>
  <c r="O22" i="103"/>
  <c r="M30" i="103"/>
  <c r="L35" i="103"/>
  <c r="T33" i="103"/>
  <c r="J31" i="103"/>
  <c r="N33" i="103"/>
  <c r="P33" i="103"/>
  <c r="T21" i="103"/>
  <c r="K38" i="103"/>
  <c r="I28" i="103"/>
  <c r="K32" i="103"/>
  <c r="L32" i="103"/>
  <c r="H38" i="103"/>
  <c r="H25" i="103"/>
  <c r="K34" i="103"/>
  <c r="K22" i="103"/>
  <c r="T22" i="103"/>
  <c r="G33" i="103"/>
  <c r="G19" i="103"/>
  <c r="G38" i="103"/>
  <c r="H28" i="103"/>
  <c r="G32" i="103"/>
  <c r="P32" i="103"/>
  <c r="J38" i="103"/>
  <c r="O31" i="103"/>
  <c r="K16" i="103"/>
  <c r="T29" i="103"/>
  <c r="I19" i="103"/>
  <c r="G23" i="103"/>
  <c r="N19" i="103"/>
  <c r="O27" i="103"/>
  <c r="L21" i="103"/>
  <c r="M38" i="103"/>
  <c r="M20" i="103"/>
  <c r="T32" i="103"/>
  <c r="U32" i="103" s="1"/>
  <c r="T38" i="103"/>
  <c r="T30" i="103"/>
  <c r="I31" i="103"/>
  <c r="M37" i="103"/>
  <c r="L34" i="103"/>
  <c r="O19" i="103"/>
  <c r="H16" i="103"/>
  <c r="N26" i="103"/>
  <c r="P26" i="103"/>
  <c r="I25" i="103"/>
  <c r="J37" i="103"/>
  <c r="S15" i="103"/>
  <c r="U15" i="103" s="1"/>
  <c r="I17" i="103"/>
  <c r="T18" i="103"/>
  <c r="G34" i="103"/>
  <c r="P23" i="103"/>
  <c r="O30" i="103"/>
  <c r="L24" i="103"/>
  <c r="O18" i="103"/>
  <c r="J27" i="103"/>
  <c r="S30" i="103"/>
  <c r="H20" i="103"/>
  <c r="I20" i="103"/>
  <c r="J26" i="103"/>
  <c r="I36" i="103"/>
  <c r="L37" i="103"/>
  <c r="M17" i="103"/>
  <c r="M18" i="103"/>
  <c r="S24" i="103"/>
  <c r="M13" i="103"/>
  <c r="H13" i="103"/>
  <c r="J13" i="103"/>
  <c r="N13" i="103"/>
  <c r="S35" i="103"/>
  <c r="U35" i="103" s="1"/>
  <c r="H33" i="103"/>
  <c r="J19" i="103"/>
  <c r="G15" i="103"/>
  <c r="L17" i="103"/>
  <c r="P20" i="103"/>
  <c r="G20" i="103"/>
  <c r="G35" i="103"/>
  <c r="N16" i="103"/>
  <c r="G14" i="103"/>
  <c r="H26" i="103"/>
  <c r="O25" i="103"/>
  <c r="O36" i="103"/>
  <c r="T37" i="103"/>
  <c r="U37" i="103" s="1"/>
  <c r="S17" i="103"/>
  <c r="L25" i="103"/>
  <c r="I34" i="103"/>
  <c r="P36" i="103"/>
  <c r="T23" i="103"/>
  <c r="P22" i="103"/>
  <c r="K30" i="103"/>
  <c r="O33" i="103"/>
  <c r="P29" i="103"/>
  <c r="P24" i="103"/>
  <c r="K18" i="103"/>
  <c r="M19" i="103"/>
  <c r="N35" i="103"/>
  <c r="N27" i="103"/>
  <c r="O23" i="103"/>
  <c r="P16" i="103"/>
  <c r="P14" i="103"/>
  <c r="O15" i="103"/>
  <c r="K27" i="103"/>
  <c r="J17" i="103"/>
  <c r="N20" i="103"/>
  <c r="G24" i="103"/>
  <c r="S20" i="103"/>
  <c r="U20" i="103" s="1"/>
  <c r="O35" i="103"/>
  <c r="T16" i="103"/>
  <c r="L26" i="103"/>
  <c r="K26" i="103"/>
  <c r="M25" i="103"/>
  <c r="N38" i="103"/>
  <c r="H37" i="103"/>
  <c r="P15" i="103"/>
  <c r="P25" i="103"/>
  <c r="M31" i="103"/>
  <c r="G22" i="103"/>
  <c r="O37" i="103"/>
  <c r="J23" i="103"/>
  <c r="H22" i="103"/>
  <c r="T34" i="103"/>
  <c r="G16" i="103"/>
  <c r="G29" i="103"/>
  <c r="I33" i="103"/>
  <c r="N29" i="103"/>
  <c r="H24" i="103"/>
  <c r="G18" i="103"/>
  <c r="K19" i="103"/>
  <c r="G21" i="103"/>
  <c r="L27" i="103"/>
  <c r="M23" i="103"/>
  <c r="S23" i="103"/>
  <c r="S16" i="103"/>
  <c r="K13" i="103"/>
  <c r="O13" i="103"/>
  <c r="J33" i="103"/>
  <c r="H19" i="103"/>
  <c r="J14" i="103"/>
  <c r="K15" i="103"/>
  <c r="G27" i="103"/>
  <c r="N17" i="103"/>
  <c r="J20" i="103"/>
  <c r="O28" i="103"/>
  <c r="P28" i="103"/>
  <c r="K24" i="103"/>
  <c r="I35" i="103"/>
  <c r="M32" i="103"/>
  <c r="I14" i="103"/>
  <c r="G26" i="103"/>
  <c r="G25" i="103"/>
  <c r="K36" i="103"/>
  <c r="N15" i="103"/>
  <c r="L15" i="103"/>
  <c r="O17" i="103"/>
  <c r="N18" i="103"/>
  <c r="N25" i="103"/>
  <c r="S22" i="103"/>
  <c r="G37" i="103"/>
  <c r="T36" i="103"/>
  <c r="L23" i="103"/>
  <c r="L22" i="103"/>
  <c r="O29" i="103"/>
  <c r="K33" i="103"/>
  <c r="L29" i="103"/>
  <c r="N24" i="103"/>
  <c r="J18" i="84"/>
  <c r="G21" i="84"/>
  <c r="J35" i="103"/>
  <c r="M21" i="103"/>
  <c r="P27" i="103"/>
  <c r="K23" i="103"/>
  <c r="S13" i="103"/>
  <c r="N14" i="103"/>
  <c r="H17" i="103"/>
  <c r="L20" i="103"/>
  <c r="O20" i="103"/>
  <c r="L16" i="103"/>
  <c r="K14" i="103"/>
  <c r="I26" i="103"/>
  <c r="K25" i="103"/>
  <c r="F12" i="103"/>
  <c r="G73" i="84" s="1"/>
  <c r="G24" i="84" s="1"/>
  <c r="N37" i="103"/>
  <c r="G17" i="103"/>
  <c r="J18" i="103"/>
  <c r="P18" i="103"/>
  <c r="T25" i="103"/>
  <c r="U25" i="103" s="1"/>
  <c r="M34" i="103"/>
  <c r="K37" i="103"/>
  <c r="S36" i="103"/>
  <c r="H23" i="103"/>
  <c r="J22" i="103"/>
  <c r="I30" i="103"/>
  <c r="S33" i="103"/>
  <c r="J29" i="103"/>
  <c r="T24" i="103"/>
  <c r="I21" i="103"/>
  <c r="H27" i="103"/>
  <c r="S28" i="103"/>
  <c r="J20" i="84"/>
  <c r="T13" i="103"/>
  <c r="G13" i="103"/>
  <c r="P13" i="103"/>
  <c r="S29" i="103"/>
  <c r="S34" i="103"/>
  <c r="L18" i="103"/>
  <c r="E12" i="103"/>
  <c r="F73" i="84" s="1"/>
  <c r="G23" i="84" s="1"/>
  <c r="D45" i="84"/>
  <c r="K21" i="103"/>
  <c r="I32" i="103"/>
  <c r="M14" i="103"/>
  <c r="K31" i="103"/>
  <c r="J36" i="103"/>
  <c r="H21" i="84" l="1"/>
  <c r="Q18" i="84"/>
  <c r="U38" i="103"/>
  <c r="U28" i="103"/>
  <c r="U18" i="103"/>
  <c r="G77" i="84"/>
  <c r="G79" i="84"/>
  <c r="G75" i="84"/>
  <c r="H24" i="84"/>
  <c r="F75" i="84"/>
  <c r="H73" i="84"/>
  <c r="F79" i="84"/>
  <c r="F77" i="84"/>
  <c r="F81" i="84"/>
  <c r="H81" i="84" s="1"/>
  <c r="U17" i="103"/>
  <c r="U21" i="103"/>
  <c r="U33" i="103"/>
  <c r="U29" i="103"/>
  <c r="G12" i="103"/>
  <c r="T12" i="103"/>
  <c r="L12" i="103"/>
  <c r="U24" i="103"/>
  <c r="U30" i="103"/>
  <c r="I12" i="103"/>
  <c r="U22" i="103"/>
  <c r="J12" i="103"/>
  <c r="H12" i="103"/>
  <c r="M12" i="103"/>
  <c r="U36" i="103"/>
  <c r="K12" i="103"/>
  <c r="U13" i="103"/>
  <c r="S12" i="103"/>
  <c r="U16" i="103"/>
  <c r="O12" i="103"/>
  <c r="U23" i="103"/>
  <c r="J21" i="84"/>
  <c r="U34" i="103"/>
  <c r="P12" i="103"/>
  <c r="N12" i="103"/>
  <c r="J55" i="84" l="1"/>
  <c r="Q55" i="84" s="1"/>
  <c r="H77" i="84"/>
  <c r="H75" i="84"/>
  <c r="H79" i="84"/>
  <c r="H23" i="84"/>
  <c r="H25" i="84" s="1"/>
  <c r="G25" i="84"/>
  <c r="U12" i="103"/>
  <c r="H55" i="84" l="1"/>
  <c r="I59" i="84" s="1"/>
  <c r="H83" i="84"/>
  <c r="F90" i="84" s="1"/>
  <c r="Q25" i="84"/>
  <c r="G94" i="84" l="1"/>
  <c r="F94" i="84"/>
  <c r="G90" i="84"/>
  <c r="H90" i="84" s="1"/>
  <c r="G92" i="84"/>
  <c r="F92" i="84"/>
  <c r="H92" i="84" l="1"/>
  <c r="H94" i="84"/>
  <c r="C16" i="114"/>
  <c r="C20" i="114" s="1"/>
  <c r="Q59" i="84"/>
  <c r="H96" i="8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KONTIDOU, Fani</author>
    <author>BAXTER, William</author>
  </authors>
  <commentList>
    <comment ref="M4" authorId="0" shapeId="0" xr:uid="{6D2813CB-9566-461B-A6D7-AE8D1966552A}">
      <text>
        <r>
          <rPr>
            <sz val="8"/>
            <color indexed="81"/>
            <rFont val="Tahoma"/>
            <family val="2"/>
          </rPr>
          <t>Total Number of Funded Pupils  inclusive of reception uplift (if applicable), adjusted for part-year funding.</t>
        </r>
      </text>
    </comment>
    <comment ref="N4" authorId="1" shapeId="0" xr:uid="{070E1193-BFE4-40A7-851C-043B1B5EA906}">
      <text>
        <r>
          <rPr>
            <sz val="8"/>
            <color indexed="81"/>
            <rFont val="Tahoma"/>
            <family val="2"/>
          </rPr>
          <t>Total Number of Funded Primary Pupils  inclusive of reception uplift (if applicable), adjusted for part-year funding</t>
        </r>
      </text>
    </comment>
    <comment ref="O4" authorId="1" shapeId="0" xr:uid="{4DFDC26F-A600-47C4-8D5F-F8714F4FB358}">
      <text>
        <r>
          <rPr>
            <sz val="8"/>
            <color indexed="81"/>
            <rFont val="Tahoma"/>
            <family val="2"/>
          </rPr>
          <t>The NOR Reception total does not include any pupils included in the reception uplift figure</t>
        </r>
      </text>
    </comment>
    <comment ref="P4" authorId="0" shapeId="0" xr:uid="{419C5FEB-5536-4089-932F-F54037CB074F}">
      <text>
        <r>
          <rPr>
            <sz val="8"/>
            <color indexed="81"/>
            <rFont val="Tahoma"/>
            <family val="2"/>
          </rPr>
          <t xml:space="preserve">Total NOR in years 1 to 6 adjusted for part year funding. This figure will only be used for the calculation of the eligible proportion of pupils for the primary prior attainment factor
</t>
        </r>
      </text>
    </comment>
    <comment ref="Q4" authorId="1" shapeId="0" xr:uid="{A5F74F8F-5594-46EC-87D4-D32C7B1384C3}">
      <text>
        <r>
          <rPr>
            <sz val="8"/>
            <color indexed="81"/>
            <rFont val="Tahoma"/>
            <family val="2"/>
          </rPr>
          <t>Total number of funded pupils, adjusted for part-year funding</t>
        </r>
      </text>
    </comment>
    <comment ref="T4" authorId="1" shapeId="0" xr:uid="{5803E5CE-F9CB-4C7E-89B3-E480A4425792}">
      <text>
        <r>
          <rPr>
            <sz val="8"/>
            <color indexed="81"/>
            <rFont val="Tahoma"/>
            <family val="2"/>
          </rPr>
          <t>Total NOR in year7, adjusted for part year funding. This figure will only be used for the calculation of the eligible proportion of pupils for the secondary prior attainment factor</t>
        </r>
      </text>
    </comment>
    <comment ref="U4" authorId="1" shapeId="0" xr:uid="{BD21FCE1-FC46-4EE5-8C09-024B6603A9CA}">
      <text>
        <r>
          <rPr>
            <sz val="8"/>
            <color indexed="81"/>
            <rFont val="Tahoma"/>
            <family val="2"/>
          </rPr>
          <t>Total NOR in year 8, adjusted for part year funding. This figure will only be used for the calculation of the eligible proportion of pupils for the secondary prior attainment factor</t>
        </r>
      </text>
    </comment>
    <comment ref="V4" authorId="1" shapeId="0" xr:uid="{9AD0B3E1-1E46-4EB1-945D-EE4DE9B6A4B5}">
      <text>
        <r>
          <rPr>
            <sz val="8"/>
            <color indexed="81"/>
            <rFont val="Tahoma"/>
            <family val="2"/>
          </rPr>
          <t>Total NOR in year 9, adjusted for part year funding. This figure will only be used for the calculation of the eligible proportion of pupils for the secondary prior attainment factor</t>
        </r>
      </text>
    </comment>
    <comment ref="W4" authorId="1" shapeId="0" xr:uid="{E634A785-58E1-4D93-9CD0-49C3F7AB751D}">
      <text>
        <r>
          <rPr>
            <sz val="8"/>
            <color indexed="81"/>
            <rFont val="Tahoma"/>
            <family val="2"/>
          </rPr>
          <t>Total NOR in year 10, adjusted for part year funding. This figure will only be used for the calculation of the eligible proportion of pupils for the secondary prior attainment factor</t>
        </r>
        <r>
          <rPr>
            <sz val="9"/>
            <color indexed="81"/>
            <rFont val="Tahoma"/>
            <family val="2"/>
          </rPr>
          <t xml:space="preserve">
</t>
        </r>
      </text>
    </comment>
    <comment ref="X4" authorId="1" shapeId="0" xr:uid="{A4715CF0-058D-41B5-8758-73E41730D785}">
      <text>
        <r>
          <rPr>
            <sz val="8"/>
            <color indexed="81"/>
            <rFont val="Tahoma"/>
            <family val="2"/>
          </rPr>
          <t>Total NOR in year 11, adjusted for part year funding. This figure will only be used for the calculation of the eligible proportion of pupils for the secondary prior attainment factor</t>
        </r>
      </text>
    </comment>
    <comment ref="Z4" authorId="1" shapeId="0" xr:uid="{F8F9155C-690A-436D-B02A-638BAC9455B8}">
      <text>
        <r>
          <rPr>
            <sz val="8"/>
            <color indexed="81"/>
            <rFont val="Tahoma"/>
            <family val="2"/>
          </rPr>
          <t xml:space="preserve">Total NOR excluding Reception uplift, where applicable
</t>
        </r>
      </text>
    </comment>
    <comment ref="BE4" authorId="1" shapeId="0" xr:uid="{C7E429E6-BF3B-4F6D-A8FC-E92C351B1B62}">
      <text>
        <r>
          <rPr>
            <sz val="8"/>
            <color indexed="81"/>
            <rFont val="Tahoma"/>
            <family val="2"/>
          </rPr>
          <t>For the purpose of sparsity funding all middle and all-though school distances are recorded in the secondary column.</t>
        </r>
      </text>
    </comment>
    <comment ref="BF4" authorId="0" shapeId="0" xr:uid="{B0B2190E-C9AC-4446-85E5-189F02CE579F}">
      <text>
        <r>
          <rPr>
            <sz val="8"/>
            <color indexed="81"/>
            <rFont val="Tahoma"/>
            <family val="2"/>
          </rPr>
          <t>For the purpose of sparsity funding all middle and all-though school distances are recorded in the secondary column.</t>
        </r>
      </text>
    </comment>
    <comment ref="BG4" authorId="1" shapeId="0" xr:uid="{54A601BE-39C1-4496-8DC0-ED952C1B20D8}">
      <text>
        <r>
          <rPr>
            <sz val="8"/>
            <color indexed="81"/>
            <rFont val="Tahoma"/>
            <family val="2"/>
          </rPr>
          <t xml:space="preserve">If the fixed lump sum is selected on the Proforma worksheet the value will be 0 where the schools NOR is above the threshold or 1 where the NOR is below the threshold.
If either Tapered or NFF is selected the value will be 0 where the NOR exceeds the threshold and between 0 and 1 depending on the NOR. For the Tapered calculation the taper begins immediately whereas for the NFF the taper only begins when the NOR exceeds 50% of the threshold (so for a school with 75% of the NOR threshold they would receive 25% of the lump sum under the Tapered calculation and 50% under the NFF calculation).
</t>
        </r>
      </text>
    </comment>
    <comment ref="BH4" authorId="1" shapeId="0" xr:uid="{EFC29F49-F9A1-4384-A53A-5294E0DDECC4}">
      <text>
        <r>
          <rPr>
            <sz val="8"/>
            <color indexed="81"/>
            <rFont val="Tahoma"/>
            <family val="2"/>
          </rPr>
          <t xml:space="preserve">Where a user has selected no for the distance taper on the Proforma worksheet this will either show 1 where the distance exceeds the sparsity distance threshold or 0 where it is below the threshold.  
Where yes is selected for the distance taper a value between 0 and 1 will be shown where the distance is below the threshold but between 80% and 100% of the threshold. If the schools sparsity distance is below 80% of the threshold the value will be 0 and if it is over the threshold it will be 1.
</t>
        </r>
      </text>
    </comment>
    <comment ref="BI4" authorId="0" shapeId="0" xr:uid="{DDB82F8C-4229-40D3-A94C-DFD2B7CD7070}">
      <text>
        <r>
          <rPr>
            <sz val="8"/>
            <color indexed="81"/>
            <rFont val="Tahoma"/>
            <family val="2"/>
          </rPr>
          <t xml:space="preserve">This column shows whether a school meets the sparsity criteria (1) or not (0)
</t>
        </r>
      </text>
    </comment>
    <comment ref="BJ4" authorId="1" shapeId="0" xr:uid="{0B1082C8-189F-4543-9737-50E4D97EA03C}">
      <text>
        <r>
          <rPr>
            <sz val="8"/>
            <color indexed="81"/>
            <rFont val="Tahoma"/>
            <family val="2"/>
          </rPr>
          <t>This column shows the poportion of the total pupils at the school in the primary phase.  This value is only for use in the De Delegation calculation.</t>
        </r>
      </text>
    </comment>
    <comment ref="BK4" authorId="1" shapeId="0" xr:uid="{2E880E60-C9E7-4761-ADB7-250B01B257EB}">
      <text>
        <r>
          <rPr>
            <sz val="8"/>
            <color indexed="81"/>
            <rFont val="Tahoma"/>
            <family val="2"/>
          </rPr>
          <t>This column shows the poportion of the total pupils at the school in the secondary phase.  This value is only for use in the De Delegation calculation.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tc={E4017A73-8AFF-44D0-8B56-7D1DCCFB5F4A}</author>
    <author>tc={B11E11B1-C072-4167-9871-B5CA94E1BD6F}</author>
    <author>tc={C5556A7F-6AA9-4BC9-9E68-02CE37B32AF5}</author>
    <author>tc={36D79521-801B-4DF8-AF88-94CFB36B6EB0}</author>
    <author>tc={3F74A72D-132C-4878-A77C-83F71FF2E3C4}</author>
    <author>tc={3085F346-7E21-4ACC-A6F8-F6CDC3A0E968}</author>
    <author>tc={CEDCD464-EBA7-4D56-BC2D-0355E0DF843A}</author>
    <author>tc={79839DD6-86E7-44C7-AFAE-5A5389657412}</author>
  </authors>
  <commentList>
    <comment ref="H14" authorId="0" shapeId="0" xr:uid="{E4017A73-8AFF-44D0-8B56-7D1DCCFB5F4A}">
      <text>
        <t xml:space="preserve">[Threaded comment]
Your version of Excel allows you to read this threaded comment; however, any edits to it will get removed if the file is opened in a newer version of Excel. Learn more: https://go.microsoft.com/fwlink/?linkid=870924
Comment:
    Is there a local agreement up to 48 </t>
      </text>
    </comment>
    <comment ref="S18" authorId="1" shapeId="0" xr:uid="{B11E11B1-C072-4167-9871-B5CA94E1BD6F}">
      <text>
        <t xml:space="preserve">[Threaded comment]
Your version of Excel allows you to read this threaded comment; however, any edits to it will get removed if the file is opened in a newer version of Excel. Learn more: https://go.microsoft.com/fwlink/?linkid=870924
Comment:
    Altered for 5 months as will transfer to maintained as ERS is to be decommissioned </t>
      </text>
    </comment>
    <comment ref="P24" authorId="2" shapeId="0" xr:uid="{C5556A7F-6AA9-4BC9-9E68-02CE37B32AF5}">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P25" authorId="3" shapeId="0" xr:uid="{36D79521-801B-4DF8-AF88-94CFB36B6EB0}">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P26" authorId="4" shapeId="0" xr:uid="{3F74A72D-132C-4878-A77C-83F71FF2E3C4}">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P27" authorId="5" shapeId="0" xr:uid="{3085F346-7E21-4ACC-A6F8-F6CDC3A0E968}">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P28" authorId="6" shapeId="0" xr:uid="{CEDCD464-EBA7-4D56-BC2D-0355E0DF843A}">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 ref="P29" authorId="7" shapeId="0" xr:uid="{79839DD6-86E7-44C7-AFAE-5A5389657412}">
      <text>
        <t xml:space="preserve">[Threaded comment]
Your version of Excel allows you to read this threaded comment; however, any edits to it will get removed if the file is opened in a newer version of Excel. Learn more: https://go.microsoft.com/fwlink/?linkid=870924
Comment:
    Removed as expected to be filled@ October by Other LA’s - Vacant places is if they become vacant by other LA in September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April Lunn</author>
  </authors>
  <commentList>
    <comment ref="G225" authorId="0" shapeId="0" xr:uid="{7BABE516-FE05-4324-BAF9-DED05FF7C1B2}">
      <text>
        <r>
          <rPr>
            <b/>
            <sz val="9"/>
            <color indexed="81"/>
            <rFont val="Tahoma"/>
            <family val="2"/>
          </rPr>
          <t>April Lunn:</t>
        </r>
        <r>
          <rPr>
            <sz val="9"/>
            <color indexed="81"/>
            <rFont val="Tahoma"/>
            <family val="2"/>
          </rPr>
          <t xml:space="preserve">
Manually Enter</t>
        </r>
      </text>
    </comment>
  </commentList>
</comments>
</file>

<file path=xl/sharedStrings.xml><?xml version="1.0" encoding="utf-8"?>
<sst xmlns="http://schemas.openxmlformats.org/spreadsheetml/2006/main" count="7843" uniqueCount="1414">
  <si>
    <t>LAESTAB</t>
  </si>
  <si>
    <t>School Name</t>
  </si>
  <si>
    <t>Phase</t>
  </si>
  <si>
    <t>Academy Type</t>
  </si>
  <si>
    <t>London Fringe</t>
  </si>
  <si>
    <t>Number of Primary year groups for middle schools</t>
  </si>
  <si>
    <t>Number of Secondary year groups for middle schools</t>
  </si>
  <si>
    <t>Number of Primary year groups for all schools</t>
  </si>
  <si>
    <t>Number of Secondary year groups for all schools</t>
  </si>
  <si>
    <t>Number of KS3 year groups for all schools</t>
  </si>
  <si>
    <t>Number of KS4 year groups for all schools</t>
  </si>
  <si>
    <t>NOR</t>
  </si>
  <si>
    <t>NOR Primary</t>
  </si>
  <si>
    <t>NOR Reception</t>
  </si>
  <si>
    <t>NOR Y1-6 for calculation of the eligible pupils for the primary prior attainment factor ONLY</t>
  </si>
  <si>
    <t>NOR Secondary</t>
  </si>
  <si>
    <t>NOR KS3</t>
  </si>
  <si>
    <t>NOR KS4</t>
  </si>
  <si>
    <t>NOR Y7 for calculation of the eligible pupils for the secondary prior attainment factor ONLY</t>
  </si>
  <si>
    <t>NOR Y8 for calculation of the eligible pupils for the secondary prior attainment factor ONLY</t>
  </si>
  <si>
    <t>NOR Y9 for calculation of the eligible pupils for the secondary prior attainment factor ONLY</t>
  </si>
  <si>
    <t>NOR Y10 for calculation of the eligible pupils for the secondary prior attainment factor ONLY</t>
  </si>
  <si>
    <t>NOR Y11 for calculation of the eligible pupils for the secondary prior attainment factor ONLY</t>
  </si>
  <si>
    <t>Average Year Group Size</t>
  </si>
  <si>
    <t>Primary FSM Units</t>
  </si>
  <si>
    <t>Primary FSM6 Units</t>
  </si>
  <si>
    <t>Secondary FSM Units</t>
  </si>
  <si>
    <t>Secondary FSM6 Units</t>
  </si>
  <si>
    <t>IDACI Primary Units Band G</t>
  </si>
  <si>
    <t>IDACI Primary Units Band F</t>
  </si>
  <si>
    <t>IDACI Primary Units Band E</t>
  </si>
  <si>
    <t>IDACI Primary Units Band D</t>
  </si>
  <si>
    <t>IDACI Primary Units Band C</t>
  </si>
  <si>
    <t>IDACI Primary Units Band B</t>
  </si>
  <si>
    <t>IDACI Primary Units Band A</t>
  </si>
  <si>
    <t>IDACI Secondary Units Band G</t>
  </si>
  <si>
    <t>IDACI Secondary Units Band F</t>
  </si>
  <si>
    <t>IDACI Secondary Units Band E</t>
  </si>
  <si>
    <t>IDACI Secondary Units Band D</t>
  </si>
  <si>
    <t>IDACI Secondary Units Band C</t>
  </si>
  <si>
    <t>IDACI Secondary Units Band B</t>
  </si>
  <si>
    <t>IDACI Secondary Units Band A</t>
  </si>
  <si>
    <t>EAL 3 Primary Units</t>
  </si>
  <si>
    <t>EAL 3 Secondary Units</t>
  </si>
  <si>
    <t>Low prior attainment total Primary Units</t>
  </si>
  <si>
    <t>Low Prior Attainment Secondary Units - Y7</t>
  </si>
  <si>
    <t>Low Prior Attainment Secondary Units - Y8</t>
  </si>
  <si>
    <t>Low Prior Attainment Secondary Units - Y9</t>
  </si>
  <si>
    <t>Low Prior Attainment Secondary Units - Y10</t>
  </si>
  <si>
    <t>Low Prior Attainment Secondary Units - Y11</t>
  </si>
  <si>
    <t>Low prior attainment total Secondary Units</t>
  </si>
  <si>
    <t>Mobility Primary Units</t>
  </si>
  <si>
    <t>Mobility Secondary Units</t>
  </si>
  <si>
    <t>Primary sparsity av. Distance to 2nd school (miles)</t>
  </si>
  <si>
    <t>Secondary sparsity av. Distance to 2nd school (miles)</t>
  </si>
  <si>
    <t>Sparsity NOR taper</t>
  </si>
  <si>
    <t>Sparsity distance taper</t>
  </si>
  <si>
    <t>Sparsity flag</t>
  </si>
  <si>
    <t>Proportion of total NOR in Primary phase</t>
  </si>
  <si>
    <t>Proportion of total NOR in Secondary phase</t>
  </si>
  <si>
    <t>All</t>
  </si>
  <si>
    <t>Roe Farm Primary School</t>
  </si>
  <si>
    <t>Parkview Primary School</t>
  </si>
  <si>
    <t>Ashgate Primary School</t>
  </si>
  <si>
    <t>Becket Primary School</t>
  </si>
  <si>
    <t>Dale Community Primary School</t>
  </si>
  <si>
    <t>Pear Tree Infant School</t>
  </si>
  <si>
    <t>Rosehill Infant and Nursery School</t>
  </si>
  <si>
    <t>Markeaton Primary School</t>
  </si>
  <si>
    <t>Portway Infant School</t>
  </si>
  <si>
    <t>Alvaston Infant and Nursery School</t>
  </si>
  <si>
    <t>Shelton Infant School</t>
  </si>
  <si>
    <t>Cavendish Close Infant School</t>
  </si>
  <si>
    <t>Meadow Farm Community Primary School</t>
  </si>
  <si>
    <t>Gayton Junior School</t>
  </si>
  <si>
    <t>Ridgeway Infant School</t>
  </si>
  <si>
    <t>Wren Park Primary School</t>
  </si>
  <si>
    <t>Ravensdale Infant and Nursery School</t>
  </si>
  <si>
    <t>Silverhill Primary School</t>
  </si>
  <si>
    <t>Oakwood Infant and Nursery School</t>
  </si>
  <si>
    <t>Redwood Primary School</t>
  </si>
  <si>
    <t>Mickleover Primary School</t>
  </si>
  <si>
    <t>St James' Church of England Aided Infant School</t>
  </si>
  <si>
    <t>Shelton Junior School</t>
  </si>
  <si>
    <t>Littleover Community School</t>
  </si>
  <si>
    <t>Murray Park Community School</t>
  </si>
  <si>
    <t>The Bemrose School</t>
  </si>
  <si>
    <t>Griffe Field Primary School</t>
  </si>
  <si>
    <t>Beaufort Community Primary School</t>
  </si>
  <si>
    <t>Homefields Primary School</t>
  </si>
  <si>
    <t>Wyndham Spencer Academy</t>
  </si>
  <si>
    <t>St John Fisher Catholic Voluntary Academy</t>
  </si>
  <si>
    <t>Landau Forte Academy Moorhead</t>
  </si>
  <si>
    <t>Grampian Primary Academy</t>
  </si>
  <si>
    <t>Bishop Lonsdale Church of England Primary School and Nursery</t>
  </si>
  <si>
    <t>Allenton Primary School</t>
  </si>
  <si>
    <t>Firs Primary School</t>
  </si>
  <si>
    <t>Akaal Primary School</t>
  </si>
  <si>
    <t>Derwent Primary School</t>
  </si>
  <si>
    <t>Pear Tree Community Junior School</t>
  </si>
  <si>
    <t>Breadsall Hill Top Primary School</t>
  </si>
  <si>
    <t>Cavendish Close Junior Academy</t>
  </si>
  <si>
    <t>Reigate Park Primary Academy</t>
  </si>
  <si>
    <t>Ashwood Spencer Academy</t>
  </si>
  <si>
    <t>Lakeside Primary Academy</t>
  </si>
  <si>
    <t>Cottons Farm Primary Academy</t>
  </si>
  <si>
    <t>Hackwood Primary Academy</t>
  </si>
  <si>
    <t>St Peter's Church of England Aided Junior School</t>
  </si>
  <si>
    <t>Brackensdale Spencer Academy</t>
  </si>
  <si>
    <t>Castleward Spencer Academy</t>
  </si>
  <si>
    <t>Portway Junior School</t>
  </si>
  <si>
    <t>Alvaston Junior Academy</t>
  </si>
  <si>
    <t>Cherry Tree Hill Primary School</t>
  </si>
  <si>
    <t>Chellaston Infant School</t>
  </si>
  <si>
    <t>Carlyle Infant and Nursery Academy</t>
  </si>
  <si>
    <t>Ravensdale Junior School</t>
  </si>
  <si>
    <t>Asterdale Primary School</t>
  </si>
  <si>
    <t>Springfield Primary School</t>
  </si>
  <si>
    <t>Chaddesden Park Primary School</t>
  </si>
  <si>
    <t>Oakwood Junior School</t>
  </si>
  <si>
    <t>Ash Croft Primary Academy</t>
  </si>
  <si>
    <t>Brookfield Primary School</t>
  </si>
  <si>
    <t>Lawn Primary School</t>
  </si>
  <si>
    <t>Arboretum Primary School</t>
  </si>
  <si>
    <t>Derby St Chad's CofE Nursery and Infant School</t>
  </si>
  <si>
    <t>St Mary's Catholic Voluntary Academy</t>
  </si>
  <si>
    <t>Walter Evans Church of England Aided Primary School</t>
  </si>
  <si>
    <t>St George's Catholic Voluntary Academy</t>
  </si>
  <si>
    <t>St Werburgh's CofE Primary School</t>
  </si>
  <si>
    <t>St James' Church of England Aided Junior School</t>
  </si>
  <si>
    <t>St Joseph's Catholic Voluntary Academy</t>
  </si>
  <si>
    <t>St Alban's Catholic Voluntary Academy</t>
  </si>
  <si>
    <t>Hardwick Primary School</t>
  </si>
  <si>
    <t>Village Primary Academy</t>
  </si>
  <si>
    <t>Zaytouna Primary School</t>
  </si>
  <si>
    <t>Borrow Wood Primary School</t>
  </si>
  <si>
    <t>Chellaston Junior School</t>
  </si>
  <si>
    <t>Derby Cathedral School</t>
  </si>
  <si>
    <t>Noel-Baker Academy</t>
  </si>
  <si>
    <t>Lees Brook Academy</t>
  </si>
  <si>
    <t>Da Vinci Academy</t>
  </si>
  <si>
    <t>City of Derby Academy</t>
  </si>
  <si>
    <t>UTC Derby Pride Park</t>
  </si>
  <si>
    <t>Alvaston Moor Academy</t>
  </si>
  <si>
    <t>Chellaston Academy</t>
  </si>
  <si>
    <t>Derby Moor Spencer Academy</t>
  </si>
  <si>
    <t>Saint Benedict, A Catholic Voluntary Academy</t>
  </si>
  <si>
    <t>West Park School</t>
  </si>
  <si>
    <t>Allestree Woodlands School</t>
  </si>
  <si>
    <t>Landau Forte College</t>
  </si>
  <si>
    <t/>
  </si>
  <si>
    <t>Oak Grange Primary School</t>
  </si>
  <si>
    <t>‘The documents listed below may not be accessible for users using assistive technology. If you need to access any of these documents please contact schoolfinanceteam@derby.gov.uk.’</t>
  </si>
  <si>
    <t>To view a specific school click on the cell below and then click on the arrow, to the right of the cell, to scroll and select the required school.  This spreadsheet will then be populated with financial information relating to this school.</t>
  </si>
  <si>
    <t>Reference No.</t>
  </si>
  <si>
    <t>Bridge Street School</t>
  </si>
  <si>
    <t>Click a box below to see a breakdown for each category</t>
  </si>
  <si>
    <t>Budget Category</t>
  </si>
  <si>
    <t>Schools Block</t>
  </si>
  <si>
    <t>ERS</t>
  </si>
  <si>
    <t>Early Years *</t>
  </si>
  <si>
    <t>Total Budget</t>
  </si>
  <si>
    <t>MEMO ONLY</t>
  </si>
  <si>
    <t>* These are indicative budget allocations only as Early Years budgets are adjusted for actual hour take up in year.</t>
  </si>
  <si>
    <t>To view a specific provider click on the cell below and then click the down arrow to the right of the cell, to view a list of providers, so you can scroll down to one you require.  This spreadsheet will then be populated with financial information relating to this provider.</t>
  </si>
  <si>
    <t>Best Start Sinfin called The Learning Tree</t>
  </si>
  <si>
    <t>1. Base Rate(s) per hour, Early Years entitlement type.</t>
  </si>
  <si>
    <t>Rate per hour (£)</t>
  </si>
  <si>
    <t>Anticipated Total Budget (£)</t>
  </si>
  <si>
    <t>2 Year old working parent</t>
  </si>
  <si>
    <t>9 months - 23 months working parent (from 1st September 2024)</t>
  </si>
  <si>
    <t>Deprivation Supplement (3 and 4 year old only)</t>
  </si>
  <si>
    <t>IMD - top 20% most deprived</t>
  </si>
  <si>
    <t>IMD - 20% to 40% most deprived</t>
  </si>
  <si>
    <t>EAL</t>
  </si>
  <si>
    <r>
      <t>TOTAL FUNDING FOR EARLY YEARS SINGLE FUNDING FORMULA</t>
    </r>
    <r>
      <rPr>
        <sz val="12"/>
        <rFont val="Arial"/>
        <family val="2"/>
      </rPr>
      <t xml:space="preserve">* </t>
    </r>
  </si>
  <si>
    <r>
      <rPr>
        <b/>
        <sz val="12"/>
        <rFont val="Arial"/>
        <family val="2"/>
      </rPr>
      <t xml:space="preserve">* </t>
    </r>
    <r>
      <rPr>
        <sz val="12"/>
        <rFont val="Arial"/>
        <family val="2"/>
      </rPr>
      <t xml:space="preserve">These are indicative budget allocations only as Early Years budgets are adjusted for actual hour take up in year </t>
    </r>
  </si>
  <si>
    <t>Click on the 'Back to Schools Summary' button to select another School or different breakdown</t>
  </si>
  <si>
    <t>Rate</t>
  </si>
  <si>
    <t>Total (£)</t>
  </si>
  <si>
    <t>PFI</t>
  </si>
  <si>
    <t>Factor</t>
  </si>
  <si>
    <t>Description</t>
  </si>
  <si>
    <t>Primary amount per pupil</t>
  </si>
  <si>
    <t>Secondary KS3 amount per pupil</t>
  </si>
  <si>
    <t>Secondary KS4 amount per pupil</t>
  </si>
  <si>
    <t>Number of Pupils (Including High Needs Places)</t>
  </si>
  <si>
    <t>Sub total (£)</t>
  </si>
  <si>
    <t>Notional SEN %</t>
  </si>
  <si>
    <t>Notional SEN within School Budget £</t>
  </si>
  <si>
    <t xml:space="preserve">1) Basic Entitlement - Age Weighted Pupil Funding (AWPU) </t>
  </si>
  <si>
    <t>Primary (including reception)</t>
  </si>
  <si>
    <t>Key Stage 3</t>
  </si>
  <si>
    <t>Key Stage 4</t>
  </si>
  <si>
    <t>Variance</t>
  </si>
  <si>
    <t>Total</t>
  </si>
  <si>
    <t>De-delegation - see separate breakdown</t>
  </si>
  <si>
    <t>Secondary</t>
  </si>
  <si>
    <t>Secondary amount per pupil</t>
  </si>
  <si>
    <t>Number of eligible primary pupils</t>
  </si>
  <si>
    <t>Number of eligible secondary pupils</t>
  </si>
  <si>
    <t>2) Deprivation</t>
  </si>
  <si>
    <t>FSM Current</t>
  </si>
  <si>
    <t>FSM Ever 6</t>
  </si>
  <si>
    <t>IDACI Band F</t>
  </si>
  <si>
    <t>IDACI Band E</t>
  </si>
  <si>
    <t>IDACI Band D</t>
  </si>
  <si>
    <t>IDACI Band C</t>
  </si>
  <si>
    <t>IDACI Band B</t>
  </si>
  <si>
    <t>IDACI Band A</t>
  </si>
  <si>
    <t>Amount per pupil</t>
  </si>
  <si>
    <t>Number of Pupils</t>
  </si>
  <si>
    <t>3) Prior Attainment</t>
  </si>
  <si>
    <t>Primary Low prior attainment</t>
  </si>
  <si>
    <t>Secondary pupils not achieving KS2 in Reading or Writing or Maths</t>
  </si>
  <si>
    <t>4) English as an Additional Language</t>
  </si>
  <si>
    <t>Primary pupils EAL funded for first 3 years in Statutory Education</t>
  </si>
  <si>
    <t>Secondary pupils EAL funded for first 3 years in Statutory Education</t>
  </si>
  <si>
    <t>% of NOR</t>
  </si>
  <si>
    <t>5) Mobility</t>
  </si>
  <si>
    <t>Primary pupils included in the October School Census who did not start in September (Last 3 academic years)</t>
  </si>
  <si>
    <t>Mobility is calculated after deducting 6% threshold level</t>
  </si>
  <si>
    <t>Secondary pupils included in the October School Census who did not start in September (Last 3 academic years)</t>
  </si>
  <si>
    <t>Amount of lump sum</t>
  </si>
  <si>
    <t>Number</t>
  </si>
  <si>
    <t>6) Lump Sum</t>
  </si>
  <si>
    <t>Amount of split site funding</t>
  </si>
  <si>
    <t>7) Split Site</t>
  </si>
  <si>
    <t>Amount of PFI funding</t>
  </si>
  <si>
    <t>PFI to be paid back to the LA</t>
  </si>
  <si>
    <t>MFG / Capping &amp; Scaling Adjustments</t>
  </si>
  <si>
    <t>Total Notional SEN within the School Budget</t>
  </si>
  <si>
    <t>Schools Block Total</t>
  </si>
  <si>
    <t>Total Schools Block Budget</t>
  </si>
  <si>
    <t>NNDR RATES (to be paid by ESFA)</t>
  </si>
  <si>
    <t>Primary Rate</t>
  </si>
  <si>
    <t>Secondary Rate</t>
  </si>
  <si>
    <t>Primary net NOR</t>
  </si>
  <si>
    <t>Secondary Net NOR</t>
  </si>
  <si>
    <t>CFR code E23</t>
  </si>
  <si>
    <t>Contingencies (SIFD &amp; Contingencies)</t>
  </si>
  <si>
    <t>Prim Net NOR</t>
  </si>
  <si>
    <t>Sec Net NOR</t>
  </si>
  <si>
    <t>Insurance</t>
  </si>
  <si>
    <t>CFR code E19</t>
  </si>
  <si>
    <t>Staff Costs Supply</t>
  </si>
  <si>
    <t>CFR code E27</t>
  </si>
  <si>
    <t>Support UAG and Bilingual</t>
  </si>
  <si>
    <t>Behaviour Support</t>
  </si>
  <si>
    <t>CFR Code I01</t>
  </si>
  <si>
    <t>LA Services De-delegated from maintained schools</t>
  </si>
  <si>
    <t>Academies &amp; other non maintained Schools - to be confirmed</t>
  </si>
  <si>
    <t>Behaviour Support - Secondary Hard to Place &amp; Support to Inclusion</t>
  </si>
  <si>
    <t>LA Services to be Invoiced to non maintained schools</t>
  </si>
  <si>
    <t>2. Other formula
factors and lump sums (if applicable)</t>
  </si>
  <si>
    <t>Amount (£)</t>
  </si>
  <si>
    <t>Unit</t>
  </si>
  <si>
    <t>Base for Stand Alone Maintained Nurseries</t>
  </si>
  <si>
    <t>lump sum</t>
  </si>
  <si>
    <t>Stand Alone Maintained Nursery Supplement Funding (3&amp;4 year old Universal Hours only)</t>
  </si>
  <si>
    <t>per hour</t>
  </si>
  <si>
    <t>Academies</t>
  </si>
  <si>
    <t>Post 16</t>
  </si>
  <si>
    <t>Ivy House School</t>
  </si>
  <si>
    <t>St Clare's School</t>
  </si>
  <si>
    <t>Primary</t>
  </si>
  <si>
    <t>The Kingsmead School</t>
  </si>
  <si>
    <t>BS</t>
  </si>
  <si>
    <t>URN</t>
  </si>
  <si>
    <t>Basic Entitlement (Primary)</t>
  </si>
  <si>
    <t>Basic Entitlement (KS3)</t>
  </si>
  <si>
    <t>Basic Entitlement (KS4)</t>
  </si>
  <si>
    <t>Free School Meals (Primary)</t>
  </si>
  <si>
    <t>Free School Meals (Secondary)</t>
  </si>
  <si>
    <t>Free School Meals Ever 6 (Primary)</t>
  </si>
  <si>
    <t>Free School Meals Ever 6 (Secondary)</t>
  </si>
  <si>
    <t>IDACI (P F)</t>
  </si>
  <si>
    <t>IDACI (P E)</t>
  </si>
  <si>
    <t>IDACI (P D)</t>
  </si>
  <si>
    <t>IDACI (P C)</t>
  </si>
  <si>
    <t>IDACI (P B)</t>
  </si>
  <si>
    <t>IDACI (P A)</t>
  </si>
  <si>
    <t>IDACI (S F)</t>
  </si>
  <si>
    <t>IDACI (S E)</t>
  </si>
  <si>
    <t>IDACI (S D)</t>
  </si>
  <si>
    <t>IDACI (S C)</t>
  </si>
  <si>
    <t>IDACI (S B)</t>
  </si>
  <si>
    <t>IDACI (S A)</t>
  </si>
  <si>
    <t>EAL (P)</t>
  </si>
  <si>
    <t>EAL (S)</t>
  </si>
  <si>
    <t>Low Prior Attainment (P)</t>
  </si>
  <si>
    <t>Low Prior Attainment (S)</t>
  </si>
  <si>
    <t>Mobility (P)</t>
  </si>
  <si>
    <t>Mobility (S)</t>
  </si>
  <si>
    <t>Lump Sum</t>
  </si>
  <si>
    <t>Sparsity Funding</t>
  </si>
  <si>
    <t>Split Sites</t>
  </si>
  <si>
    <t>Basic Entitlement Total</t>
  </si>
  <si>
    <t>AEN Total</t>
  </si>
  <si>
    <t>School Factors total</t>
  </si>
  <si>
    <t>Notional SEN Budget</t>
  </si>
  <si>
    <t>Total Allocation</t>
  </si>
  <si>
    <t>Minimum per pupil funding: adjusted total allocation (excluding premises costs)</t>
  </si>
  <si>
    <t>Minimum per pupil funding: minimum per pupil rate</t>
  </si>
  <si>
    <t>Minimum per pupil funding: minimum funding level</t>
  </si>
  <si>
    <t>Minimum per pupil funding: additional funding to meet the primary minimum funding level</t>
  </si>
  <si>
    <t>Minimum per pupil funding: additional funding to meet the secondary minimum funding level</t>
  </si>
  <si>
    <t>Total allocation including minimum funding level adjustment</t>
  </si>
  <si>
    <t>Primary Funding</t>
  </si>
  <si>
    <t>Secondary Funding</t>
  </si>
  <si>
    <t>Minimum allocation after capping/scaling</t>
  </si>
  <si>
    <t>MFG % change</t>
  </si>
  <si>
    <t>MFG Value adjustment</t>
  </si>
  <si>
    <t>Minimum per pupil funding: post MFG minimum funding per pupil rate</t>
  </si>
  <si>
    <t>Minimum per pupil funding: per pupil rate is greater than or equal to the minimum entered on the Proforma sheet?</t>
  </si>
  <si>
    <t>Year on year % Change</t>
  </si>
  <si>
    <t>De-delegation</t>
  </si>
  <si>
    <t>Post De-delegation budget</t>
  </si>
  <si>
    <t>Education functions for maintained schools</t>
  </si>
  <si>
    <t>Post De-delegation and Education functions budget</t>
  </si>
  <si>
    <t>Rates</t>
  </si>
  <si>
    <t>Ashgate Nursery</t>
  </si>
  <si>
    <t>Central Nursery</t>
  </si>
  <si>
    <t>Harrington Nursery</t>
  </si>
  <si>
    <t>Lord St Nursery</t>
  </si>
  <si>
    <t>Stonehill Nursery</t>
  </si>
  <si>
    <t>Walbrook Nursery</t>
  </si>
  <si>
    <t>Whitecross Nursery</t>
  </si>
  <si>
    <t>Ace Nursery</t>
  </si>
  <si>
    <t>Alvaston Achievers</t>
  </si>
  <si>
    <t>EY362920</t>
  </si>
  <si>
    <t>An-Noor Nursery</t>
  </si>
  <si>
    <t>EY467568</t>
  </si>
  <si>
    <t>EY450983</t>
  </si>
  <si>
    <t>Bizzy Kidz</t>
  </si>
  <si>
    <t>Boulton Lane Park Pre-School Playgroup</t>
  </si>
  <si>
    <t>EY282068</t>
  </si>
  <si>
    <t>Bramble Brook Pre-School  Playgroup</t>
  </si>
  <si>
    <t>Busy Bees Pre-School</t>
  </si>
  <si>
    <t>Busy Bees-Derby, Heatherton</t>
  </si>
  <si>
    <t>Carlton Private Day Nursery</t>
  </si>
  <si>
    <t>Chuckles Pre-School Playgroup</t>
  </si>
  <si>
    <t>Derby City Childminding Network - Amanda Reeves</t>
  </si>
  <si>
    <t>EY451228</t>
  </si>
  <si>
    <t>Derby City Childminding Network - Amber Rose Worsfold</t>
  </si>
  <si>
    <t>EY398922</t>
  </si>
  <si>
    <t>Derby City Childminding Network - Andrea Louise Banyard</t>
  </si>
  <si>
    <t>Derby City Childminding Network - Angela Jane Hatton</t>
  </si>
  <si>
    <t>Derby City Childminding Network - Ann Stanley</t>
  </si>
  <si>
    <t>Derby City Childminding Network - Anna Fatima Rani</t>
  </si>
  <si>
    <t>EY491735</t>
  </si>
  <si>
    <t>Derby City Childminding Network - Anne-Marie Davies</t>
  </si>
  <si>
    <t>EY000013</t>
  </si>
  <si>
    <t xml:space="preserve">Derby City Childminding Network - Arline Mali </t>
  </si>
  <si>
    <t>EY444837</t>
  </si>
  <si>
    <t>Derby City Childminding Network - Ashley Jane Elizabeth Hallas</t>
  </si>
  <si>
    <t>EY440600</t>
  </si>
  <si>
    <t>Derby City Childminding Network - Aina Boladale Ogunwole</t>
  </si>
  <si>
    <t>Derby City Childminding Network - Bonnies Childminding</t>
  </si>
  <si>
    <t>EY542496</t>
  </si>
  <si>
    <t>Derby City Childminding Network - Carrieann Redfern</t>
  </si>
  <si>
    <t>Derby City Childminding Network - Caroline Clifford</t>
  </si>
  <si>
    <t>EY421552</t>
  </si>
  <si>
    <t>Derby City Childminding Network - Celia Murfin</t>
  </si>
  <si>
    <t>EY251518</t>
  </si>
  <si>
    <t>Derby City Childminding Network - Cheryll Lesley Haywood-Phillips</t>
  </si>
  <si>
    <t>Derby City Childminding Network - Christine Ann Brocklehurst</t>
  </si>
  <si>
    <t>Derby City Childminding Network - Christine Avis Gibbons</t>
  </si>
  <si>
    <t>Derby City Childminding Network - Christine Julie Heathcote</t>
  </si>
  <si>
    <t>EY412756</t>
  </si>
  <si>
    <t>Derby City Childminding Network - Claire-Ellen Oakley</t>
  </si>
  <si>
    <t>EY294474</t>
  </si>
  <si>
    <t>Derby City Childminding Network - Deborah Scaife</t>
  </si>
  <si>
    <t>Derby City Childminding Network - Diane Helena Kendrick</t>
  </si>
  <si>
    <t>Derby City Childminding Network - Donna Gladwin</t>
  </si>
  <si>
    <t>EY386644</t>
  </si>
  <si>
    <t>Derby City Childminding Network - Dorothy Faye Thomson</t>
  </si>
  <si>
    <t>EY552102</t>
  </si>
  <si>
    <t>Derby City Childminding Network - Emma Shepherd</t>
  </si>
  <si>
    <t>EY455065</t>
  </si>
  <si>
    <t>Derby City Childminding Network - Emma Louise Strange,</t>
  </si>
  <si>
    <t>Derby City Childminding Network - Enza Dawson</t>
  </si>
  <si>
    <t>EY460509</t>
  </si>
  <si>
    <t>Derby City Childminding Network - Evangelista Muchineripi Kafuru</t>
  </si>
  <si>
    <t>EY401536</t>
  </si>
  <si>
    <t>Derby City Childminding Network - Fiona Meek</t>
  </si>
  <si>
    <t>EY316120</t>
  </si>
  <si>
    <t>Derby City Childminding Network - Heather Brocklehurst</t>
  </si>
  <si>
    <t>EY561853</t>
  </si>
  <si>
    <t>Derby City Childminding Network - Helen Marie Samuels</t>
  </si>
  <si>
    <t>Derby City Childminding Network - Jade ElishaO'Donnell</t>
  </si>
  <si>
    <t>Derby City Childminding Network - Jane Catherine Penny</t>
  </si>
  <si>
    <t>Derby City Childminding Network - Jane Denise Dakin</t>
  </si>
  <si>
    <t>Derby City Childminding Network - Jennifer Hayley Brown</t>
  </si>
  <si>
    <t>EY493729</t>
  </si>
  <si>
    <t>Derby City Childminding Network - Jennifer Sarah Armstrong</t>
  </si>
  <si>
    <t>Derby City Childminding Network - Jennifer Smith</t>
  </si>
  <si>
    <t>EY430291</t>
  </si>
  <si>
    <t>Derby City Childminding Network - Joanne Claire Hurst</t>
  </si>
  <si>
    <t>EY462623</t>
  </si>
  <si>
    <t>Derby City Childminding Network - Joanne Mycroft</t>
  </si>
  <si>
    <t>Derby City Childminding Network - Judith Deakin</t>
  </si>
  <si>
    <t>EY492729</t>
  </si>
  <si>
    <t>Derby City Childminding Network - Julie Croft</t>
  </si>
  <si>
    <t>EY368441</t>
  </si>
  <si>
    <t>Derby City Childminding Network - Julie Elizabeth Sewter,</t>
  </si>
  <si>
    <t>EY316309</t>
  </si>
  <si>
    <t>Derby City Childminding Network - Julie Margaret Warren</t>
  </si>
  <si>
    <t>Derby City Childminding Network - Kathryn Mary Sarsfield</t>
  </si>
  <si>
    <t>EY405755</t>
  </si>
  <si>
    <t>Derby City Childminding Network - Kerry Jehane Derbyshire</t>
  </si>
  <si>
    <t>Derby City Childminding Network - Laura Marshall</t>
  </si>
  <si>
    <t>Derby City Childminding Network - Laura Murphy</t>
  </si>
  <si>
    <t>EY493212</t>
  </si>
  <si>
    <t>Derby City Childminding Network - Laura Neale</t>
  </si>
  <si>
    <t>CA000015</t>
  </si>
  <si>
    <t>Derby City Childminding Network - Laura Shaw</t>
  </si>
  <si>
    <t>EY408462</t>
  </si>
  <si>
    <t>Derby City Childminding Network - Lisa Marie North</t>
  </si>
  <si>
    <t>EY546840</t>
  </si>
  <si>
    <t>Derby City Childminding Network - Leah Sheridan</t>
  </si>
  <si>
    <t>Derby City Childminding Network - Lorraine Duthie</t>
  </si>
  <si>
    <t>EY440552</t>
  </si>
  <si>
    <t>Derby City Childminding Network - Miranda Heather Gunston</t>
  </si>
  <si>
    <t>EY428424</t>
  </si>
  <si>
    <t>Derby City Childminding Network - Nicky Sherratt</t>
  </si>
  <si>
    <t>Derby City Childminding Network - Martine Lamell</t>
  </si>
  <si>
    <t>Derby City Childminding Network - Monika Brown</t>
  </si>
  <si>
    <t>EY236462</t>
  </si>
  <si>
    <t>Derby City Childminding Network - Paula Jane Wathey</t>
  </si>
  <si>
    <t>EY484039</t>
  </si>
  <si>
    <t>Derby City Childminding Network - Rachael Elizabeth Eagles</t>
  </si>
  <si>
    <t>EY487257</t>
  </si>
  <si>
    <t>Derby City Childminding Network - Rachel Gillian Brownsword</t>
  </si>
  <si>
    <t>EY307352</t>
  </si>
  <si>
    <t>Derby City Childminding Network - Rachel Jane Weightman</t>
  </si>
  <si>
    <t>EY447118</t>
  </si>
  <si>
    <t>Derby City Childminding Network - Rachel Wiggins</t>
  </si>
  <si>
    <t>EY393682</t>
  </si>
  <si>
    <t>Derby City Childminding Network - Rebecca Anne Cotton</t>
  </si>
  <si>
    <t>EY396913</t>
  </si>
  <si>
    <t>Derby City Childminding Network - Rebecca Louise Dudley</t>
  </si>
  <si>
    <t>EY278371</t>
  </si>
  <si>
    <t>Derby City Childminding Network - Rebecca Sarah Wall</t>
  </si>
  <si>
    <t>EY541336</t>
  </si>
  <si>
    <t xml:space="preserve">Derby City Childminding Network - Regina Zakrzewska </t>
  </si>
  <si>
    <t>Derby City Childminding Network - Sally -Anne Thompson</t>
  </si>
  <si>
    <t>EY485279</t>
  </si>
  <si>
    <t>Derby City Childminding Network - Sally Louise Bartram</t>
  </si>
  <si>
    <t>EY406938</t>
  </si>
  <si>
    <t>Derby City Childminding Network - Samantha Anne Fisher</t>
  </si>
  <si>
    <t>EY299821</t>
  </si>
  <si>
    <t>Derby City Childminding Network - Sandra Upton</t>
  </si>
  <si>
    <t>Derby City Childminding Network - Sara Helen Cooper</t>
  </si>
  <si>
    <t>Derby City Childminding Network - Sara Mycroft</t>
  </si>
  <si>
    <t>Derby City Childminding Network - Sarah Jane Jackson</t>
  </si>
  <si>
    <t>EY436155</t>
  </si>
  <si>
    <t>Derby City Childminding Network - Sharron Ann Silkstone</t>
  </si>
  <si>
    <t>Derby City Childminding Network - Sharon Taylor</t>
  </si>
  <si>
    <t>EY336425</t>
  </si>
  <si>
    <t>Derby City Childminding Network - Shirley Kerr</t>
  </si>
  <si>
    <t>Derby City Childminding Network - Stella Louise Bayliss</t>
  </si>
  <si>
    <t>EY435150</t>
  </si>
  <si>
    <t>Derby City Childminding Network - Susan Theresa McPhee</t>
  </si>
  <si>
    <t>EY299849</t>
  </si>
  <si>
    <t>Derby City Childminding Network - Tamasine Louise Ashforth</t>
  </si>
  <si>
    <t>EY547709</t>
  </si>
  <si>
    <t xml:space="preserve">Derby City Childminding Network - Valerie Sutton </t>
  </si>
  <si>
    <t>EY496070</t>
  </si>
  <si>
    <t>Derby City Childminding Network - Victoria Collings</t>
  </si>
  <si>
    <t>EY318345</t>
  </si>
  <si>
    <t>Derby City Childminding Network - Wendy Jane Wheawall</t>
  </si>
  <si>
    <t>EY464682</t>
  </si>
  <si>
    <t>Derby City Childminding Network - Wendy Lorraine Anne Wright</t>
  </si>
  <si>
    <t>EY414019</t>
  </si>
  <si>
    <t>Derby City Childminding Network - Yolande Wosik</t>
  </si>
  <si>
    <t>EY350863</t>
  </si>
  <si>
    <t>Derby City Childminding Network - Zena Brotherson</t>
  </si>
  <si>
    <t>EY240925</t>
  </si>
  <si>
    <t>Derby High School</t>
  </si>
  <si>
    <t>EY476012</t>
  </si>
  <si>
    <t>Derby Montessori</t>
  </si>
  <si>
    <t>EY330097</t>
  </si>
  <si>
    <t>Derwent Stepping Stones- St Marks Rd</t>
  </si>
  <si>
    <t>EY396374</t>
  </si>
  <si>
    <t>Childcare @ St James Centre</t>
  </si>
  <si>
    <t>EY421215</t>
  </si>
  <si>
    <t>Diamond Day PDN</t>
  </si>
  <si>
    <t>381/6000</t>
  </si>
  <si>
    <t>Emmanuel School</t>
  </si>
  <si>
    <t>EY307423</t>
  </si>
  <si>
    <t>Field Lane Playgroup Ltd</t>
  </si>
  <si>
    <t>First Friends Private Day Nursery</t>
  </si>
  <si>
    <t>EY539483</t>
  </si>
  <si>
    <t>First Steps Early Years Centre</t>
  </si>
  <si>
    <t>EY478943</t>
  </si>
  <si>
    <t>Fun Time Nursery Limited</t>
  </si>
  <si>
    <t>EY406182</t>
  </si>
  <si>
    <t>Heatherton Pre-School</t>
  </si>
  <si>
    <t>EY477956</t>
  </si>
  <si>
    <t>Incredible Kids</t>
  </si>
  <si>
    <t>King George V Pre-School</t>
  </si>
  <si>
    <t>EY285337</t>
  </si>
  <si>
    <t>Kingfisher Day Nursery - Spondon</t>
  </si>
  <si>
    <t>La Petite Academy</t>
  </si>
  <si>
    <t>Leapfrog Day Nursery(1)</t>
  </si>
  <si>
    <t>EY492973</t>
  </si>
  <si>
    <t>Little Owls Playgroup</t>
  </si>
  <si>
    <t>EY371611</t>
  </si>
  <si>
    <t>Little Poppies Pre-School ( Royal British</t>
  </si>
  <si>
    <t>EY550368</t>
  </si>
  <si>
    <t>Little Scholars Private Day Nursery(1) Sunnyhill</t>
  </si>
  <si>
    <t>Little Scholars Private Day Nursery(2) Littleover</t>
  </si>
  <si>
    <t>EY471706</t>
  </si>
  <si>
    <t xml:space="preserve">Little Angels Playschool CIC </t>
  </si>
  <si>
    <t>EY544417</t>
  </si>
  <si>
    <t>Marble Hall Little Angels Day Nursery</t>
  </si>
  <si>
    <t>Mary Poppins Day Nursery</t>
  </si>
  <si>
    <t>Mickleover Methodist Playgroup</t>
  </si>
  <si>
    <t>EY304261</t>
  </si>
  <si>
    <t>Oak House Nursery</t>
  </si>
  <si>
    <t>EY563570</t>
  </si>
  <si>
    <t>The Orange Tree Day Nursery @ Derby</t>
  </si>
  <si>
    <t>Orchard Private Day Nursery</t>
  </si>
  <si>
    <t>Orchard Nursery School(1)</t>
  </si>
  <si>
    <t>Osmaston Day Nursery Limited</t>
  </si>
  <si>
    <t>EY474393</t>
  </si>
  <si>
    <t>Playcorner Nursery</t>
  </si>
  <si>
    <t>Playdays Opportunity Group</t>
  </si>
  <si>
    <t>EY370198</t>
  </si>
  <si>
    <t>Positive Steps Childcare</t>
  </si>
  <si>
    <t>Rydale Nursery (formerly Childrens Centre)</t>
  </si>
  <si>
    <t>EY481412</t>
  </si>
  <si>
    <t>Scallywags Nursery</t>
  </si>
  <si>
    <t>EY541492</t>
  </si>
  <si>
    <t>Shelton Lock Pre-School</t>
  </si>
  <si>
    <t>EY500690</t>
  </si>
  <si>
    <t>Shining Stars Day Nursery</t>
  </si>
  <si>
    <t>EY282326</t>
  </si>
  <si>
    <t>Silver Trees Private Day Nursery</t>
  </si>
  <si>
    <t>EY279508</t>
  </si>
  <si>
    <t>Sinfin Community Childcare</t>
  </si>
  <si>
    <t>EY456892</t>
  </si>
  <si>
    <t>Sinfin Community Childcare at SCILLS Community Centre</t>
  </si>
  <si>
    <t>EY541153</t>
  </si>
  <si>
    <t>St Andrew's Pre-School Playgroup</t>
  </si>
  <si>
    <t>EY535976</t>
  </si>
  <si>
    <t>St Edmunds Pre-School And Playgroup</t>
  </si>
  <si>
    <t>St Joseph's R. C. Pre-School</t>
  </si>
  <si>
    <t>EY484523</t>
  </si>
  <si>
    <t>Sunny Days Nursery</t>
  </si>
  <si>
    <t>Sunnyhill Day Nursery Limited</t>
  </si>
  <si>
    <t>EY100960</t>
  </si>
  <si>
    <t>The Cottage Private Day Nursery Uttoxeter Road</t>
  </si>
  <si>
    <t>The Cottage Private Day Nursery(3)</t>
  </si>
  <si>
    <t>The Early Years Academy Derby</t>
  </si>
  <si>
    <t>EY495633</t>
  </si>
  <si>
    <t>The Faraway Tree Day Nursery</t>
  </si>
  <si>
    <t>EY103452</t>
  </si>
  <si>
    <t>The Orchard Garden Private Day Nurser</t>
  </si>
  <si>
    <t>Thornhill Day Nursery - Tommies Childcare</t>
  </si>
  <si>
    <t>EY497405</t>
  </si>
  <si>
    <t>Tiny Tots Nursery</t>
  </si>
  <si>
    <t>Treetops Private Day Nursery</t>
  </si>
  <si>
    <t>EY452684</t>
  </si>
  <si>
    <t>White House Day Nursery Alvaston</t>
  </si>
  <si>
    <t>EY544723</t>
  </si>
  <si>
    <t>White House Kids Club</t>
  </si>
  <si>
    <t>EY431769</t>
  </si>
  <si>
    <t>Whitehouse Day Nursery Limited</t>
  </si>
  <si>
    <t>Wonderworks Pre-School</t>
  </si>
  <si>
    <t>Woodlands Private Day Nursery</t>
  </si>
  <si>
    <t>EY493996</t>
  </si>
  <si>
    <t>Schools Out Club (Derby) Ltd - Allestree School's Out Club</t>
  </si>
  <si>
    <t>NewPVI_1</t>
  </si>
  <si>
    <t>Homelands -Childcare Centre</t>
  </si>
  <si>
    <t>NewPVI_2</t>
  </si>
  <si>
    <t>Rosehill Children Centre</t>
  </si>
  <si>
    <t>Dandelion Preschool</t>
  </si>
  <si>
    <t>Saint Benedict CVA</t>
  </si>
  <si>
    <t>Contingencies</t>
  </si>
  <si>
    <t>Staff costs supply cover</t>
  </si>
  <si>
    <t>Support to underperforming ethnic minority groups and bilingual learners</t>
  </si>
  <si>
    <t>Behaviour support services</t>
  </si>
  <si>
    <t>Total unit value</t>
  </si>
  <si>
    <t>Total de delegation</t>
  </si>
  <si>
    <t>Primary AWPU</t>
  </si>
  <si>
    <t>Secondary AWPU</t>
  </si>
  <si>
    <t>P</t>
  </si>
  <si>
    <t>S</t>
  </si>
  <si>
    <t>AT</t>
  </si>
  <si>
    <t>20% most deprived</t>
  </si>
  <si>
    <t>20% to 40% most deprived</t>
  </si>
  <si>
    <t>Schools with Nursery Classes</t>
  </si>
  <si>
    <t>Cost Centre</t>
  </si>
  <si>
    <t>DFE Ref</t>
  </si>
  <si>
    <t>Standalone Lump Sum</t>
  </si>
  <si>
    <t>Standalone Supplement</t>
  </si>
  <si>
    <t>Base Costs</t>
  </si>
  <si>
    <t>IMD 20% Most Deprived</t>
  </si>
  <si>
    <t>IMD 20% to 40% Deprived</t>
  </si>
  <si>
    <t>Grand Total</t>
  </si>
  <si>
    <t>E200201</t>
  </si>
  <si>
    <t>M</t>
  </si>
  <si>
    <t>E100101</t>
  </si>
  <si>
    <t>E200901</t>
  </si>
  <si>
    <t>Bemrose</t>
  </si>
  <si>
    <t>E300101</t>
  </si>
  <si>
    <t>E202001</t>
  </si>
  <si>
    <t>E100301</t>
  </si>
  <si>
    <t>E100401</t>
  </si>
  <si>
    <t>E100501</t>
  </si>
  <si>
    <t>E203901</t>
  </si>
  <si>
    <t>Oakwood Infant School</t>
  </si>
  <si>
    <t>E204701</t>
  </si>
  <si>
    <t>E204901</t>
  </si>
  <si>
    <t>E205401</t>
  </si>
  <si>
    <t>E205601</t>
  </si>
  <si>
    <t>E206001</t>
  </si>
  <si>
    <t>E206101</t>
  </si>
  <si>
    <t>E206201</t>
  </si>
  <si>
    <t>St James' Church of England (Aided) Infant School and Nursery</t>
  </si>
  <si>
    <t>E207001</t>
  </si>
  <si>
    <t>E100601</t>
  </si>
  <si>
    <t>E100701</t>
  </si>
  <si>
    <t>E100801</t>
  </si>
  <si>
    <t>A</t>
  </si>
  <si>
    <t>Ashcroft Primary Academy</t>
  </si>
  <si>
    <t>Ashwood Spencer Academy (Osmaston) Primary School</t>
  </si>
  <si>
    <t>Brackensdale ER (Enhanced Resource) Primary School</t>
  </si>
  <si>
    <t>Bishop Lonsdale Church of England (Aided) Primary School</t>
  </si>
  <si>
    <t>Carlyle Infant School</t>
  </si>
  <si>
    <t>Cotton's Farm Primary School</t>
  </si>
  <si>
    <t>Derwent Community School</t>
  </si>
  <si>
    <t>Firs Estate Primary School</t>
  </si>
  <si>
    <t>Grampian Primary School /Academy</t>
  </si>
  <si>
    <t>Homefields Primary</t>
  </si>
  <si>
    <t>Lakeside Community Primary School</t>
  </si>
  <si>
    <t>Reigate Primary School</t>
  </si>
  <si>
    <t>Oak Grange Primary And Nursery School</t>
  </si>
  <si>
    <t>St Alban's Catholic Primary School</t>
  </si>
  <si>
    <t>St Chad's Church of England (Controlled) Nursery and Infant School</t>
  </si>
  <si>
    <t>St Mary's Catholic Primary School</t>
  </si>
  <si>
    <t>Village Primary School</t>
  </si>
  <si>
    <t>Walter Evans Church of England (Aided) Primary School</t>
  </si>
  <si>
    <t>Wyndham Primary Academy</t>
  </si>
  <si>
    <t>ZP</t>
  </si>
  <si>
    <t>DE23 8DH</t>
  </si>
  <si>
    <t>D</t>
  </si>
  <si>
    <t>EY545705</t>
  </si>
  <si>
    <t>DE23 8FB</t>
  </si>
  <si>
    <t>DE24 9HW</t>
  </si>
  <si>
    <t>DE23 6AP</t>
  </si>
  <si>
    <t>DE24 0BD</t>
  </si>
  <si>
    <t>DE3 9HD</t>
  </si>
  <si>
    <t>DE22 2HE</t>
  </si>
  <si>
    <t>DE23 3TZ</t>
  </si>
  <si>
    <t>DE22 1GQ</t>
  </si>
  <si>
    <t>DE24 0RU</t>
  </si>
  <si>
    <t>DE23 3YA</t>
  </si>
  <si>
    <t>DE21 7HY</t>
  </si>
  <si>
    <t>DE21 4JQ</t>
  </si>
  <si>
    <t>DE24 9JR</t>
  </si>
  <si>
    <t>DE23 6QT</t>
  </si>
  <si>
    <t>DE21 4RQ</t>
  </si>
  <si>
    <t>DE3 9AS</t>
  </si>
  <si>
    <t>DE21 2HZ</t>
  </si>
  <si>
    <t>DE24 0TZ</t>
  </si>
  <si>
    <t>DE21 7DF</t>
  </si>
  <si>
    <t>DE24 0GA</t>
  </si>
  <si>
    <t>DE3 0QQ</t>
  </si>
  <si>
    <t>DE23 4RQ</t>
  </si>
  <si>
    <t>DE22 2NN</t>
  </si>
  <si>
    <t>DE73 6UP</t>
  </si>
  <si>
    <t>DE24 0TE</t>
  </si>
  <si>
    <t>DE23 3ZJ</t>
  </si>
  <si>
    <t>DE22 3TL</t>
  </si>
  <si>
    <t>DE24 0GR</t>
  </si>
  <si>
    <t>DE23 6JR</t>
  </si>
  <si>
    <t>639304</t>
  </si>
  <si>
    <t>DE21 2JW</t>
  </si>
  <si>
    <t>639309</t>
  </si>
  <si>
    <t>DE3 0PY</t>
  </si>
  <si>
    <t>DE3 9YF</t>
  </si>
  <si>
    <t>DE73 6UU</t>
  </si>
  <si>
    <t>DE23 8SR</t>
  </si>
  <si>
    <t>DE21 7QL</t>
  </si>
  <si>
    <t>DE21 2BL</t>
  </si>
  <si>
    <t>DE22 4BQ</t>
  </si>
  <si>
    <t>DE24 9FN</t>
  </si>
  <si>
    <t>DE21 7RF</t>
  </si>
  <si>
    <t>DE21 7AJ</t>
  </si>
  <si>
    <t>DE21 2QL</t>
  </si>
  <si>
    <t>DE24 9AY</t>
  </si>
  <si>
    <t>DE24 8PF</t>
  </si>
  <si>
    <t>DE21 7JF</t>
  </si>
  <si>
    <t>DE22 2FZ</t>
  </si>
  <si>
    <t>DE73 6TB</t>
  </si>
  <si>
    <t>DE24 8SE</t>
  </si>
  <si>
    <t>DE23 2TD</t>
  </si>
  <si>
    <t>DE23 3DT</t>
  </si>
  <si>
    <t>DE22 3NJ</t>
  </si>
  <si>
    <t>DE21 6AH</t>
  </si>
  <si>
    <t>DE23 8LU</t>
  </si>
  <si>
    <t>DE24 0PA</t>
  </si>
  <si>
    <t>DE22 1FP</t>
  </si>
  <si>
    <t>DE24 0GW</t>
  </si>
  <si>
    <t>DE21 6HP</t>
  </si>
  <si>
    <t>DE24 8XB</t>
  </si>
  <si>
    <t>DE23 8DD</t>
  </si>
  <si>
    <t>DE24 8AJ</t>
  </si>
  <si>
    <t>DE23 6GT</t>
  </si>
  <si>
    <t>DE21 7AB</t>
  </si>
  <si>
    <t>DE23 1DG</t>
  </si>
  <si>
    <t>DE21 2SF</t>
  </si>
  <si>
    <t>DE22 4FN</t>
  </si>
  <si>
    <t>DE3 9GB</t>
  </si>
  <si>
    <t>DE23 1GQ</t>
  </si>
  <si>
    <t>DE23 3EY</t>
  </si>
  <si>
    <t>DE24 9HY</t>
  </si>
  <si>
    <t>DE1 8BF</t>
  </si>
  <si>
    <t>DE3 9AJ</t>
  </si>
  <si>
    <t>DE3 9GH</t>
  </si>
  <si>
    <t>DE3 9FN</t>
  </si>
  <si>
    <t>DE73 6RF</t>
  </si>
  <si>
    <t>DE23 8GD</t>
  </si>
  <si>
    <t>DE73 1TU</t>
  </si>
  <si>
    <t>DE23 6US</t>
  </si>
  <si>
    <t>DE22 4EN</t>
  </si>
  <si>
    <t>DE73 5WX</t>
  </si>
  <si>
    <t>DE24 9AD</t>
  </si>
  <si>
    <t>DE23 6WW</t>
  </si>
  <si>
    <t>DE22 3AD</t>
  </si>
  <si>
    <t>DE24 9HG</t>
  </si>
  <si>
    <t>DE24 9NT</t>
  </si>
  <si>
    <t>DE23 7PX</t>
  </si>
  <si>
    <t>DE22 2FN</t>
  </si>
  <si>
    <t>DE23 6SB</t>
  </si>
  <si>
    <t>DE21 4AA</t>
  </si>
  <si>
    <t>DE3 9AX</t>
  </si>
  <si>
    <t>DE22 3PD</t>
  </si>
  <si>
    <t>DE22 3HQ</t>
  </si>
  <si>
    <t>DE1 1RX</t>
  </si>
  <si>
    <t>DE24 0JP</t>
  </si>
  <si>
    <t>DE21 2DF</t>
  </si>
  <si>
    <t>DE24 0JR</t>
  </si>
  <si>
    <t>DE72 3HB</t>
  </si>
  <si>
    <t>DE21 7LU</t>
  </si>
  <si>
    <t>DE21 6LN</t>
  </si>
  <si>
    <t>DE22 1BJ</t>
  </si>
  <si>
    <t>DE22 2QL</t>
  </si>
  <si>
    <t>All Providers</t>
  </si>
  <si>
    <t>Check</t>
  </si>
  <si>
    <t>654321</t>
  </si>
  <si>
    <t>Derby City Childminding Network - Jaclyn Mary Mustafa</t>
  </si>
  <si>
    <t>Derby City Childminding Network - Jackie Nettleship</t>
  </si>
  <si>
    <t>Unallocated hours</t>
  </si>
  <si>
    <t>CLICK ON THE ARROW BUTTON TO SELECT YOUR SCHOOL FROM THE LIST</t>
  </si>
  <si>
    <t>Kingsmead School</t>
  </si>
  <si>
    <t>St Andrew's School</t>
  </si>
  <si>
    <t>St Giles' School</t>
  </si>
  <si>
    <t>St Martins School including Horizons</t>
  </si>
  <si>
    <t>CLICK ON THE ARROW BUTTON TO SELECT YOUR PROVIDER FROM THE LIST</t>
  </si>
  <si>
    <t>All Schools</t>
  </si>
  <si>
    <t>0124</t>
  </si>
  <si>
    <t>DE73 5SB</t>
  </si>
  <si>
    <t>All-through</t>
  </si>
  <si>
    <t>Recoupment Academy</t>
  </si>
  <si>
    <t>Y</t>
  </si>
  <si>
    <t>Derby City Childminding Network - Emma Louise Strange</t>
  </si>
  <si>
    <t>Derby City Childminding Network - Julie Elizabeth Sewter</t>
  </si>
  <si>
    <t xml:space="preserve">* These are indicative budget allocations only as Early Years budgets are adjusted for actual hour take up in year </t>
  </si>
  <si>
    <t>2 Year old additional support</t>
  </si>
  <si>
    <t>NOR (from Adjusted Factors column O)</t>
  </si>
  <si>
    <t>NOR Primary (from Adjusted Factors column P)</t>
  </si>
  <si>
    <t>NOR Secondary (from Adjusted Factors column S)</t>
  </si>
  <si>
    <t>25-26 MFG Unit Value</t>
  </si>
  <si>
    <t>2025-26 Budget Working Hours to be paid to Settings</t>
  </si>
  <si>
    <t>Depreviation</t>
  </si>
  <si>
    <t>Base Amount</t>
  </si>
  <si>
    <t>Synergy Ref</t>
  </si>
  <si>
    <t>Universal
Summer Term 2025 Budget
12 weeks</t>
  </si>
  <si>
    <t>Expanded
Summer Term 2025 Budget
12 weeks</t>
  </si>
  <si>
    <t>Universal
Summer Term 2025 Actuals
12 weeks</t>
  </si>
  <si>
    <t>Expanded
Summer Term 2025 Actuals
12 weeks</t>
  </si>
  <si>
    <t>Universal
Autumn Term 2025 Budget
14 weeks</t>
  </si>
  <si>
    <t>Expanded
Autumn Term 2025 Budget
14 weeks</t>
  </si>
  <si>
    <t>Universal
Autumn Term 2025 Actuals
14 weeks</t>
  </si>
  <si>
    <t>Expanded
Autumn Term 2025 Actuals
14 weeks</t>
  </si>
  <si>
    <t>Universal
Spring Term 2025 Actuals
12 weeks</t>
  </si>
  <si>
    <t>Expanded
Spring Term 2025 Actuals
12 weeks</t>
  </si>
  <si>
    <t>Total Base Budget Hours for Universal Hours</t>
  </si>
  <si>
    <t>Total Base Budget Hours for Expanded Hours</t>
  </si>
  <si>
    <t>Total Base Actual Hours for Universal Hours</t>
  </si>
  <si>
    <t>Total Base Actual Hours for Expanded Hours</t>
  </si>
  <si>
    <t>Summer Term 2025 Budget
12 weeks</t>
  </si>
  <si>
    <t>Summer Term 2025 Actuals
12 weeks</t>
  </si>
  <si>
    <t>Autumn Term 2025 Actuals
14 weeks</t>
  </si>
  <si>
    <t>Spring Term 2026 Actuals
12 weeks</t>
  </si>
  <si>
    <t>Total Base Budget Hours</t>
  </si>
  <si>
    <t>Total Base Actual Hours</t>
  </si>
  <si>
    <t>Total Dep Budget</t>
  </si>
  <si>
    <t>Total Dep Actual</t>
  </si>
  <si>
    <t>Standalone Nurseries</t>
  </si>
  <si>
    <t>639097</t>
  </si>
  <si>
    <t>112472</t>
  </si>
  <si>
    <t>112474</t>
  </si>
  <si>
    <t>639098</t>
  </si>
  <si>
    <t>112476</t>
  </si>
  <si>
    <t>112475</t>
  </si>
  <si>
    <t>112480</t>
  </si>
  <si>
    <t>112744</t>
  </si>
  <si>
    <t>112717</t>
  </si>
  <si>
    <t>112951</t>
  </si>
  <si>
    <t>112749</t>
  </si>
  <si>
    <t>112752</t>
  </si>
  <si>
    <t>112767</t>
  </si>
  <si>
    <t>131799</t>
  </si>
  <si>
    <t>112759</t>
  </si>
  <si>
    <t>639166</t>
  </si>
  <si>
    <t>131401</t>
  </si>
  <si>
    <t>112733</t>
  </si>
  <si>
    <t>639170</t>
  </si>
  <si>
    <t>112915</t>
  </si>
  <si>
    <t>146715</t>
  </si>
  <si>
    <t>145806</t>
  </si>
  <si>
    <t>146079</t>
  </si>
  <si>
    <t>146855</t>
  </si>
  <si>
    <t>146877</t>
  </si>
  <si>
    <t>112737</t>
  </si>
  <si>
    <t>144624</t>
  </si>
  <si>
    <t>147119</t>
  </si>
  <si>
    <t>140842</t>
  </si>
  <si>
    <t>146847</t>
  </si>
  <si>
    <t>147125</t>
  </si>
  <si>
    <t>148585</t>
  </si>
  <si>
    <t xml:space="preserve">145592 </t>
  </si>
  <si>
    <t>146921</t>
  </si>
  <si>
    <t>145982</t>
  </si>
  <si>
    <t>144343</t>
  </si>
  <si>
    <t>142041</t>
  </si>
  <si>
    <t xml:space="preserve">138992 </t>
  </si>
  <si>
    <t>146579</t>
  </si>
  <si>
    <t>146477</t>
  </si>
  <si>
    <t>123456</t>
  </si>
  <si>
    <t xml:space="preserve">143875 </t>
  </si>
  <si>
    <t>146080</t>
  </si>
  <si>
    <t>145855</t>
  </si>
  <si>
    <t>149747</t>
  </si>
  <si>
    <t>146253</t>
  </si>
  <si>
    <t>146575</t>
  </si>
  <si>
    <t>146140</t>
  </si>
  <si>
    <t>145760</t>
  </si>
  <si>
    <t>142752</t>
  </si>
  <si>
    <t>138443</t>
  </si>
  <si>
    <t>Zaytouna Primary</t>
  </si>
  <si>
    <t>PVI</t>
  </si>
  <si>
    <t>537684</t>
  </si>
  <si>
    <t>639238</t>
  </si>
  <si>
    <t>639087</t>
  </si>
  <si>
    <t>639080</t>
  </si>
  <si>
    <t>Bramble Brook Pre School</t>
  </si>
  <si>
    <t>537700</t>
  </si>
  <si>
    <t>537674</t>
  </si>
  <si>
    <t>594455</t>
  </si>
  <si>
    <t>Busy Bees Oakwood</t>
  </si>
  <si>
    <t>537676</t>
  </si>
  <si>
    <t>521095</t>
  </si>
  <si>
    <t>537695</t>
  </si>
  <si>
    <t>639118</t>
  </si>
  <si>
    <t>639262</t>
  </si>
  <si>
    <t>639127</t>
  </si>
  <si>
    <t>639150</t>
  </si>
  <si>
    <t>639263</t>
  </si>
  <si>
    <t>639319</t>
  </si>
  <si>
    <t>639230</t>
  </si>
  <si>
    <t>639306</t>
  </si>
  <si>
    <t>639201</t>
  </si>
  <si>
    <t>639264</t>
  </si>
  <si>
    <t>Derby City Childminding Network - Carrieann Haseldine</t>
  </si>
  <si>
    <t>639242</t>
  </si>
  <si>
    <t>639295</t>
  </si>
  <si>
    <t>639108</t>
  </si>
  <si>
    <t xml:space="preserve">Derby City Childminding Network -Christelle Simmons </t>
  </si>
  <si>
    <t>CA000038</t>
  </si>
  <si>
    <t>639214</t>
  </si>
  <si>
    <t>639109</t>
  </si>
  <si>
    <t>639116</t>
  </si>
  <si>
    <t>639219</t>
  </si>
  <si>
    <t>Derby City Childminding Network - Diane Jean Stone</t>
  </si>
  <si>
    <t>2757388</t>
  </si>
  <si>
    <t>639256</t>
  </si>
  <si>
    <t>639273</t>
  </si>
  <si>
    <t>639146</t>
  </si>
  <si>
    <t>639204</t>
  </si>
  <si>
    <t>639244</t>
  </si>
  <si>
    <t>639191</t>
  </si>
  <si>
    <t>639225</t>
  </si>
  <si>
    <t>639200</t>
  </si>
  <si>
    <t>639312</t>
  </si>
  <si>
    <t>639307</t>
  </si>
  <si>
    <t>639313</t>
  </si>
  <si>
    <t>639315</t>
  </si>
  <si>
    <t>639287</t>
  </si>
  <si>
    <t>Derby City Childminding Network -Jennifer Leigh Bladen</t>
  </si>
  <si>
    <t>639308</t>
  </si>
  <si>
    <t>639296</t>
  </si>
  <si>
    <t>639162</t>
  </si>
  <si>
    <t>639137</t>
  </si>
  <si>
    <t>639255</t>
  </si>
  <si>
    <t>639202</t>
  </si>
  <si>
    <t>639275</t>
  </si>
  <si>
    <t>639139</t>
  </si>
  <si>
    <t>639311</t>
  </si>
  <si>
    <t>639105</t>
  </si>
  <si>
    <t>Derby City Childminding Network -Marie Louise Taylor-Ulyatt</t>
  </si>
  <si>
    <t>639321</t>
  </si>
  <si>
    <t>Derby City Childminding Network - Melissa Jade Linda Kelly</t>
  </si>
  <si>
    <t>639297</t>
  </si>
  <si>
    <t>639289</t>
  </si>
  <si>
    <t>639248</t>
  </si>
  <si>
    <t>639316</t>
  </si>
  <si>
    <t>639194</t>
  </si>
  <si>
    <t>639209</t>
  </si>
  <si>
    <t>639252</t>
  </si>
  <si>
    <t>639280</t>
  </si>
  <si>
    <t>639182</t>
  </si>
  <si>
    <t>639253</t>
  </si>
  <si>
    <t>639282</t>
  </si>
  <si>
    <t>639314</t>
  </si>
  <si>
    <t>639106</t>
  </si>
  <si>
    <t>639115</t>
  </si>
  <si>
    <t>Derby City Childminding Network -Sarah Helen Cooper</t>
  </si>
  <si>
    <t>639134</t>
  </si>
  <si>
    <t>639203</t>
  </si>
  <si>
    <t>639121</t>
  </si>
  <si>
    <t>639284</t>
  </si>
  <si>
    <t>639160</t>
  </si>
  <si>
    <t>639101</t>
  </si>
  <si>
    <t>639250</t>
  </si>
  <si>
    <t>639288</t>
  </si>
  <si>
    <t>639184</t>
  </si>
  <si>
    <t>639186</t>
  </si>
  <si>
    <t>639185</t>
  </si>
  <si>
    <t>639103</t>
  </si>
  <si>
    <t>Dal Ul Madina</t>
  </si>
  <si>
    <t>DUM</t>
  </si>
  <si>
    <t>639081</t>
  </si>
  <si>
    <t>523374</t>
  </si>
  <si>
    <t>515240</t>
  </si>
  <si>
    <t>599272</t>
  </si>
  <si>
    <t>537680</t>
  </si>
  <si>
    <t>514310</t>
  </si>
  <si>
    <t>537687</t>
  </si>
  <si>
    <t>639145</t>
  </si>
  <si>
    <t>598505</t>
  </si>
  <si>
    <t>639152</t>
  </si>
  <si>
    <t>Kids Planet</t>
  </si>
  <si>
    <t>2762152</t>
  </si>
  <si>
    <t>582810</t>
  </si>
  <si>
    <t>Kingfisher Day Nursery</t>
  </si>
  <si>
    <t>537696</t>
  </si>
  <si>
    <t>517037</t>
  </si>
  <si>
    <t>639093</t>
  </si>
  <si>
    <t>639197</t>
  </si>
  <si>
    <t>513351</t>
  </si>
  <si>
    <t>Little Rainbows Academy</t>
  </si>
  <si>
    <t>639317</t>
  </si>
  <si>
    <t>594451</t>
  </si>
  <si>
    <t>583760</t>
  </si>
  <si>
    <t xml:space="preserve">Lots for Tots </t>
  </si>
  <si>
    <t>LOT</t>
  </si>
  <si>
    <t>639245</t>
  </si>
  <si>
    <t>524119</t>
  </si>
  <si>
    <t>520956</t>
  </si>
  <si>
    <t>510895</t>
  </si>
  <si>
    <t>639261</t>
  </si>
  <si>
    <t>537693</t>
  </si>
  <si>
    <t>521423</t>
  </si>
  <si>
    <t>639318</t>
  </si>
  <si>
    <t>599273</t>
  </si>
  <si>
    <t>524317</t>
  </si>
  <si>
    <t>599354</t>
  </si>
  <si>
    <t>Rosehil EYC</t>
  </si>
  <si>
    <t>REYC</t>
  </si>
  <si>
    <t>537689</t>
  </si>
  <si>
    <t>639168</t>
  </si>
  <si>
    <t>537677</t>
  </si>
  <si>
    <t>639223</t>
  </si>
  <si>
    <t>Shining Stars Day Nursery Mickleover</t>
  </si>
  <si>
    <t>SSN</t>
  </si>
  <si>
    <t>584254</t>
  </si>
  <si>
    <t>537699</t>
  </si>
  <si>
    <t>639085</t>
  </si>
  <si>
    <t>639234</t>
  </si>
  <si>
    <t>639235</t>
  </si>
  <si>
    <t>St. Joseph's RC Pre School</t>
  </si>
  <si>
    <t>512951</t>
  </si>
  <si>
    <t>639205</t>
  </si>
  <si>
    <t>639320</t>
  </si>
  <si>
    <t>537691</t>
  </si>
  <si>
    <t>513352</t>
  </si>
  <si>
    <t>639300</t>
  </si>
  <si>
    <t>639206</t>
  </si>
  <si>
    <t>639286</t>
  </si>
  <si>
    <t>516844</t>
  </si>
  <si>
    <t>Treetops Oakwood</t>
  </si>
  <si>
    <t>510466</t>
  </si>
  <si>
    <t>639084</t>
  </si>
  <si>
    <t>521775</t>
  </si>
  <si>
    <t>521776</t>
  </si>
  <si>
    <t>639302</t>
  </si>
  <si>
    <t>512458</t>
  </si>
  <si>
    <t>639094</t>
  </si>
  <si>
    <t>Grand total for PTE</t>
  </si>
  <si>
    <t>Universal
Spring Term 2025 Budget
12 weeks</t>
  </si>
  <si>
    <t>2750871</t>
  </si>
  <si>
    <t>Castleward Spencer Academy - Nursery</t>
  </si>
  <si>
    <t>Derby City Childminding Network - Catherine Laura OBrien</t>
  </si>
  <si>
    <t>2680147</t>
  </si>
  <si>
    <t>Derby City Childminding Network - Gillian Alecia Williams</t>
  </si>
  <si>
    <t>2736137</t>
  </si>
  <si>
    <t>2575281</t>
  </si>
  <si>
    <t>Derby City Childminding Network - Kelly Thorns</t>
  </si>
  <si>
    <t>EY402908</t>
  </si>
  <si>
    <t>Derby City Childminding Network - Latoya Umana</t>
  </si>
  <si>
    <t>CA00017</t>
  </si>
  <si>
    <t>Kids Planet Springfield</t>
  </si>
  <si>
    <t>Kids Planet Spondon</t>
  </si>
  <si>
    <t>2761782</t>
  </si>
  <si>
    <t>The Orchard Garden Private Day Nursery</t>
  </si>
  <si>
    <t>639231</t>
  </si>
  <si>
    <t>Rosehill Day Nursery EYC Limited</t>
  </si>
  <si>
    <t>2806192</t>
  </si>
  <si>
    <t>DSG allocated hours</t>
  </si>
  <si>
    <t>Expanded
Spring Term 2025 Budget
12 weeks</t>
  </si>
  <si>
    <t>Derby City Childminding Network - Catherine Laura Obrien</t>
  </si>
  <si>
    <t>639305</t>
  </si>
  <si>
    <t>Derby City Childminding Network - Emma Louise Shepherd-Brown</t>
  </si>
  <si>
    <t>639270</t>
  </si>
  <si>
    <t>Derby City Childminding Network -Jennifer Sarah Armstrong</t>
  </si>
  <si>
    <t>639310</t>
  </si>
  <si>
    <t>639227</t>
  </si>
  <si>
    <t>Derby City Childminding Network - Sandra Dawn Upton</t>
  </si>
  <si>
    <t>Derby City Childminding Network - Sharon Andrew-Street</t>
  </si>
  <si>
    <t>639283</t>
  </si>
  <si>
    <t>Unallocated hours from September from 15 to 30 hours</t>
  </si>
  <si>
    <t>1st Headcount PTE</t>
  </si>
  <si>
    <t>2nd Headcount</t>
  </si>
  <si>
    <t>Derby City Childminding Network - Carly-Ann Dawkins</t>
  </si>
  <si>
    <t>EY445187</t>
  </si>
  <si>
    <t>Derby City Childminding Network - Emma Louise Shepherd</t>
  </si>
  <si>
    <t>Derby City Childminding Network - Emma Louise Strange-Brown</t>
  </si>
  <si>
    <t>Derby City Childminding Network - Sharon Ann Silkstone</t>
  </si>
  <si>
    <t>Derby City Childminding Network - Sharron Andrew-Street</t>
  </si>
  <si>
    <t>639128</t>
  </si>
  <si>
    <t>Enter new rates</t>
  </si>
  <si>
    <t>2025/26 Rates</t>
  </si>
  <si>
    <t>Budget</t>
  </si>
  <si>
    <t>Business Rates (NDRR)</t>
  </si>
  <si>
    <t xml:space="preserve">Grand Total </t>
  </si>
  <si>
    <t>Standalone supplement</t>
  </si>
  <si>
    <t>PLACES</t>
  </si>
  <si>
    <t>FUNDING</t>
  </si>
  <si>
    <t>Maintained</t>
  </si>
  <si>
    <t>Pre-16</t>
  </si>
  <si>
    <t>Manual input</t>
  </si>
  <si>
    <t>Special, AP and PRU</t>
  </si>
  <si>
    <t>Per place</t>
  </si>
  <si>
    <t>Type</t>
  </si>
  <si>
    <t>Setting</t>
  </si>
  <si>
    <t>Provision Type</t>
  </si>
  <si>
    <t>Local Agreement for 24/25 AY - when do the ERS start</t>
  </si>
  <si>
    <t>Places AY 25/26</t>
  </si>
  <si>
    <t>Over Commissioned Places</t>
  </si>
  <si>
    <t>Other LA places</t>
  </si>
  <si>
    <t>Vacant place element 1 funding</t>
  </si>
  <si>
    <t>Element 2 funding</t>
  </si>
  <si>
    <t>Element 1 &amp; 2 for special schools</t>
  </si>
  <si>
    <t>Vacant E3</t>
  </si>
  <si>
    <t>Exceptional Funding</t>
  </si>
  <si>
    <t>Funding for MFG</t>
  </si>
  <si>
    <t>E3 for places based on new banding amounts</t>
  </si>
  <si>
    <t>E3 for places based on new banding amounts MFG</t>
  </si>
  <si>
    <t>Difference</t>
  </si>
  <si>
    <t>April to August</t>
  </si>
  <si>
    <t>September to March</t>
  </si>
  <si>
    <t>April to July</t>
  </si>
  <si>
    <t>August to March</t>
  </si>
  <si>
    <t>Mainstream</t>
  </si>
  <si>
    <t>Maintained Schools in Derby</t>
  </si>
  <si>
    <t>Academy Schools in Derby</t>
  </si>
  <si>
    <t>23-24 Academic Year Payments removed from ContrOCC</t>
  </si>
  <si>
    <t>Bemrose School</t>
  </si>
  <si>
    <t>Brackensdale Primary</t>
  </si>
  <si>
    <t>Reigate Park Primary</t>
  </si>
  <si>
    <t>St Alban's Catholic Volutanry Academy</t>
  </si>
  <si>
    <t>Chellaston Academy  - not starting till September 25 is this correct</t>
  </si>
  <si>
    <t>West Park  - not starting till September 25 is this correct</t>
  </si>
  <si>
    <t>Special</t>
  </si>
  <si>
    <t>St Andrews Academy</t>
  </si>
  <si>
    <t>St Clares School</t>
  </si>
  <si>
    <t>St Giles Spencer Academy</t>
  </si>
  <si>
    <t>St Martins School</t>
  </si>
  <si>
    <t>AP/PRU</t>
  </si>
  <si>
    <t>PRU</t>
  </si>
  <si>
    <t>AP</t>
  </si>
  <si>
    <t>Derby Pride Academy</t>
  </si>
  <si>
    <t>9 months - 23 months working parent**</t>
  </si>
  <si>
    <t xml:space="preserve">** Funding paid on participation </t>
  </si>
  <si>
    <t>2 Year old working parent**</t>
  </si>
  <si>
    <t>2 Year old additional support**</t>
  </si>
  <si>
    <t>April to August Places</t>
  </si>
  <si>
    <t>September to March Places</t>
  </si>
  <si>
    <t>Pre 16</t>
  </si>
  <si>
    <t xml:space="preserve">Post 16 </t>
  </si>
  <si>
    <t>April to July Places</t>
  </si>
  <si>
    <t>August to March Places</t>
  </si>
  <si>
    <t>Total base funding (Element 1&amp;2)
£</t>
  </si>
  <si>
    <t>PFI 
£</t>
  </si>
  <si>
    <t>Element 2 funding ( high needs block)
£</t>
  </si>
  <si>
    <t>URN.</t>
  </si>
  <si>
    <t>This is taken from the APT from the adjusted Factors tab</t>
  </si>
  <si>
    <t>Check values to ISB</t>
  </si>
  <si>
    <t>Pupil Led Factors</t>
  </si>
  <si>
    <t>Amount per pupil 2025/26</t>
  </si>
  <si>
    <t>1) Basic Entitlement
Age Weighted Pupil Unit (AWPU)</t>
  </si>
  <si>
    <t>Primary (Years R-6)</t>
  </si>
  <si>
    <t>Key Stage 3  (Years 7-9)</t>
  </si>
  <si>
    <t>Key Stage 4 (Years 10-11)</t>
  </si>
  <si>
    <t>Primary amounts</t>
  </si>
  <si>
    <t>FSM</t>
  </si>
  <si>
    <t>FSM6</t>
  </si>
  <si>
    <t>IDACI Band  F</t>
  </si>
  <si>
    <t>IDACI Band  E</t>
  </si>
  <si>
    <t>IDACI Band  D</t>
  </si>
  <si>
    <t>IDACI Band  C</t>
  </si>
  <si>
    <t>IDACI Band  B</t>
  </si>
  <si>
    <t>IDACI Band  A</t>
  </si>
  <si>
    <t>Secondary amounts</t>
  </si>
  <si>
    <t>3) Looked After Children (LAC)</t>
  </si>
  <si>
    <t>LAC X March 19</t>
  </si>
  <si>
    <t>4) English as an Additional Language (EAL)</t>
  </si>
  <si>
    <t>EAL 3 Primary</t>
  </si>
  <si>
    <t>EAL 3 Secondary</t>
  </si>
  <si>
    <t>Pupils starting school outside of normal entry dates</t>
  </si>
  <si>
    <t>6) Prior attainment</t>
  </si>
  <si>
    <t>Primary Low Attainment</t>
  </si>
  <si>
    <t>Secondary low attainment (year 7)</t>
  </si>
  <si>
    <t>Secondary low attainment (year 8)</t>
  </si>
  <si>
    <t>Secondary low attainment (year 9)</t>
  </si>
  <si>
    <t>Secondary low attainment (years 10 to 11)</t>
  </si>
  <si>
    <t>7) Lump Sum</t>
  </si>
  <si>
    <t>XXX</t>
  </si>
  <si>
    <t>ALLESTREE WOODLANDS SCHOOL</t>
  </si>
  <si>
    <t>LA (code)</t>
  </si>
  <si>
    <t>LA (name)</t>
  </si>
  <si>
    <t>EstablishmentNumber</t>
  </si>
  <si>
    <t>EstablishmentName</t>
  </si>
  <si>
    <t>TypeOfEstablishment (name)</t>
  </si>
  <si>
    <t>EstablishmentStatus (name)</t>
  </si>
  <si>
    <t>OpenDate</t>
  </si>
  <si>
    <t>CloseDate</t>
  </si>
  <si>
    <t>PhaseOfEducation (name)</t>
  </si>
  <si>
    <t>StatutoryLowAge</t>
  </si>
  <si>
    <t>StatutoryHighAge</t>
  </si>
  <si>
    <t>Boarders (name)</t>
  </si>
  <si>
    <t>NurseryProvision (name)</t>
  </si>
  <si>
    <t>OfficialSixthForm (name)</t>
  </si>
  <si>
    <t>Gender (name)</t>
  </si>
  <si>
    <t>ReligiousCharacter (name)</t>
  </si>
  <si>
    <t>ReligiousEthos (name)</t>
  </si>
  <si>
    <t>Diocese (name)</t>
  </si>
  <si>
    <t>AdmissionsPolicy (name)</t>
  </si>
  <si>
    <t>TrustSchoolFlag (name)</t>
  </si>
  <si>
    <t>Trusts (name)</t>
  </si>
  <si>
    <t>SchoolSponsorFlag (name)</t>
  </si>
  <si>
    <t>SchoolSponsors (name)</t>
  </si>
  <si>
    <t>FederationFlag (name)</t>
  </si>
  <si>
    <t>Federations (name)</t>
  </si>
  <si>
    <t>UKPRN</t>
  </si>
  <si>
    <t>831</t>
  </si>
  <si>
    <t>Derby</t>
  </si>
  <si>
    <t>Lord Street Nursery School</t>
  </si>
  <si>
    <t>Local authority nursery school</t>
  </si>
  <si>
    <t>Open</t>
  </si>
  <si>
    <t>Nursery</t>
  </si>
  <si>
    <t>No boarders</t>
  </si>
  <si>
    <t>Has Nursery Classes</t>
  </si>
  <si>
    <t>Not applicable</t>
  </si>
  <si>
    <t>Mixed</t>
  </si>
  <si>
    <t>Does not apply</t>
  </si>
  <si>
    <t>Not under a federation</t>
  </si>
  <si>
    <t>Central Community Nursery School</t>
  </si>
  <si>
    <t>Supported by a federation</t>
  </si>
  <si>
    <t>Ashgate Nursery and Central Community Nursery Schools' Federation</t>
  </si>
  <si>
    <t>Harrington Nursery School</t>
  </si>
  <si>
    <t>Walbrook Nursery School</t>
  </si>
  <si>
    <t>Open, but proposed to close</t>
  </si>
  <si>
    <t>30-12-2025</t>
  </si>
  <si>
    <t>Pear Tree and  Walbrook Nursery School Federation</t>
  </si>
  <si>
    <t>Stonehill Nursery School</t>
  </si>
  <si>
    <t>Ashgate Nursery School</t>
  </si>
  <si>
    <t>Whitecross Nursery School</t>
  </si>
  <si>
    <t>Community school</t>
  </si>
  <si>
    <t>Does not have a sixth form</t>
  </si>
  <si>
    <t>No Nursery Classes</t>
  </si>
  <si>
    <t>Parkview Primary School and Redwood Primary School Federation</t>
  </si>
  <si>
    <t>Voluntary aided school</t>
  </si>
  <si>
    <t>Church of England</t>
  </si>
  <si>
    <t>Diocese of Derby</t>
  </si>
  <si>
    <t>Foundation school</t>
  </si>
  <si>
    <t>Has a sixth form</t>
  </si>
  <si>
    <t>None</t>
  </si>
  <si>
    <t>Non-selective</t>
  </si>
  <si>
    <t>Supported by a trust</t>
  </si>
  <si>
    <t>Bemrose Educational Trust</t>
  </si>
  <si>
    <t>Not supported by a trust</t>
  </si>
  <si>
    <t>01-09-1997</t>
  </si>
  <si>
    <t>01-09-1999</t>
  </si>
  <si>
    <t>Academy sponsor led</t>
  </si>
  <si>
    <t>01-09-2006</t>
  </si>
  <si>
    <t>Supported by a multi-academy trust</t>
  </si>
  <si>
    <t>LANDAU FORTE CHARITABLE TRUST</t>
  </si>
  <si>
    <t>Linked to a sponsor</t>
  </si>
  <si>
    <t>Landau Forte Charitable Trust</t>
  </si>
  <si>
    <t>Academy converter</t>
  </si>
  <si>
    <t>01-04-2011</t>
  </si>
  <si>
    <t>Supported by a single-academy trust</t>
  </si>
  <si>
    <t>WEST PARK SCHOOL</t>
  </si>
  <si>
    <t>-</t>
  </si>
  <si>
    <t>01-03-2012</t>
  </si>
  <si>
    <t>01-09-2012</t>
  </si>
  <si>
    <t>THE SPENCER ACADEMIES TRUST</t>
  </si>
  <si>
    <t>The Spencer Academies Trust</t>
  </si>
  <si>
    <t>Roman Catholic</t>
  </si>
  <si>
    <t>Diocese of Nottingham</t>
  </si>
  <si>
    <t>ST RALPH SHERWIN CATHOLIC MULTI ACADEMY TRUST</t>
  </si>
  <si>
    <t>St Ralph Sherwin Catholic Multi Academy Trust</t>
  </si>
  <si>
    <t>Free schools</t>
  </si>
  <si>
    <t>Muslim</t>
  </si>
  <si>
    <t>TRANSFORM TRUST</t>
  </si>
  <si>
    <t>Transform Trust</t>
  </si>
  <si>
    <t>01-12-2012</t>
  </si>
  <si>
    <t>ANTHEM SCHOOLS TRUST</t>
  </si>
  <si>
    <t>Anthem Schools Trust</t>
  </si>
  <si>
    <t>01-06-2014</t>
  </si>
  <si>
    <t>DERBY DIOCESAN ACADEMY TRUST</t>
  </si>
  <si>
    <t>Derby Diocesan Academy Trust</t>
  </si>
  <si>
    <t>01-01-2015</t>
  </si>
  <si>
    <t>01-01-2018</t>
  </si>
  <si>
    <t>01-04-2016</t>
  </si>
  <si>
    <t>03-09-2018</t>
  </si>
  <si>
    <t>01-02-2017</t>
  </si>
  <si>
    <t>L.E.A.D. ACADEMY TRUST</t>
  </si>
  <si>
    <t>L.E.A.D. Multi-Academy Trust</t>
  </si>
  <si>
    <t>01-01-2017</t>
  </si>
  <si>
    <t>ARCHWAY LEARNING TRUST</t>
  </si>
  <si>
    <t>Archway Learning Trust</t>
  </si>
  <si>
    <t>01-05-2017</t>
  </si>
  <si>
    <t>01-06-2017</t>
  </si>
  <si>
    <t>ONE ACADEMY TRUST</t>
  </si>
  <si>
    <t>01-07-2017</t>
  </si>
  <si>
    <t>01-09-2017</t>
  </si>
  <si>
    <t>THE HARMONY TRUST LTD</t>
  </si>
  <si>
    <t>The Harmony Trust</t>
  </si>
  <si>
    <t>QEGSMAT</t>
  </si>
  <si>
    <t>01-04-2018</t>
  </si>
  <si>
    <t>LEARNERS' TRUST</t>
  </si>
  <si>
    <t>Learners' Trust</t>
  </si>
  <si>
    <t>01-09-2018</t>
  </si>
  <si>
    <t>01-05-2018</t>
  </si>
  <si>
    <t>01-06-2018</t>
  </si>
  <si>
    <t>01-11-2018</t>
  </si>
  <si>
    <t>01-01-2019</t>
  </si>
  <si>
    <t>01-07-2019</t>
  </si>
  <si>
    <t>EAST MIDLANDS EDUCATION TRUST</t>
  </si>
  <si>
    <t>East Midlands Education Trust</t>
  </si>
  <si>
    <t>01-04-2019</t>
  </si>
  <si>
    <t>01-02-2019</t>
  </si>
  <si>
    <t>01-03-2019</t>
  </si>
  <si>
    <t>ODYSSEY COLLABORATIVE TRUST</t>
  </si>
  <si>
    <t>01-04-2021</t>
  </si>
  <si>
    <t>01-05-2019</t>
  </si>
  <si>
    <t>01-08-2019</t>
  </si>
  <si>
    <t>01-09-2019</t>
  </si>
  <si>
    <t>02-09-2019</t>
  </si>
  <si>
    <t>01-10-2019</t>
  </si>
  <si>
    <t>01-12-2019</t>
  </si>
  <si>
    <t>01-03-2020</t>
  </si>
  <si>
    <t>01-03-2021</t>
  </si>
  <si>
    <t>01-02-2021</t>
  </si>
  <si>
    <t>01-09-2021</t>
  </si>
  <si>
    <t>01-06-2021</t>
  </si>
  <si>
    <t>01-09-2023</t>
  </si>
  <si>
    <t>01-12-2023</t>
  </si>
  <si>
    <t>Sikh</t>
  </si>
  <si>
    <t>NISHKAM SCHOOLS MULTI ACADEMY TRUST</t>
  </si>
  <si>
    <t>Get Information about Schools - GOV.UK</t>
  </si>
  <si>
    <t>3 and 4 Year old Universal</t>
  </si>
  <si>
    <t>3 and 4 Year old Extended</t>
  </si>
  <si>
    <t>xxx</t>
  </si>
  <si>
    <t>Expanded
Autumn Term 2025 Budget
15 weeks</t>
  </si>
  <si>
    <t>Universal
Spring Term 2026 Budget
11 weeks</t>
  </si>
  <si>
    <t>Expanded
Spring Term 2026 Budget
11 weeks</t>
  </si>
  <si>
    <t xml:space="preserve">Comment / Adjustment </t>
  </si>
  <si>
    <t>Autumn Term 2025 Budget
15 weeks</t>
  </si>
  <si>
    <t>Spring Term 2026 Budget
11 weeks</t>
  </si>
  <si>
    <t>Universal
Autumn Term 2025 Budget
15 weeks</t>
  </si>
  <si>
    <t>Commissioned places per school</t>
  </si>
  <si>
    <t>TBC</t>
  </si>
  <si>
    <t>Funding before pupil led (element 3) 
£</t>
  </si>
  <si>
    <t>Pupil led funding as agreed with your SEN officer (Element 3) 
£</t>
  </si>
  <si>
    <t>Estimated Total of Element 2 and Element 3 funding
£</t>
  </si>
  <si>
    <t>26-27 Approved Exceptional Circumstance 1: Reserved for Additional lump sum for schools amalgamated during FY25-26</t>
  </si>
  <si>
    <t>26-27 Approved Exceptional Circumstance 2: Reserved for additional sparsity lump sum</t>
  </si>
  <si>
    <t>26-27 Approved Exceptional Circumstance 3</t>
  </si>
  <si>
    <t>26-27 Approved Exceptional Circumstance 4</t>
  </si>
  <si>
    <t>26-27 Approved Exceptional Circumstance 5</t>
  </si>
  <si>
    <t>26-27 Approved Exceptional Circumstance 6</t>
  </si>
  <si>
    <t>26-27 Approved Exceptional Circumstance 7</t>
  </si>
  <si>
    <t>26-27 MFG budget using minimum funding level</t>
  </si>
  <si>
    <t>26-27 MFG Budget</t>
  </si>
  <si>
    <t>26-27 MFG Unit Value</t>
  </si>
  <si>
    <t>26-27 MFG Adjustment</t>
  </si>
  <si>
    <t>26-27 Post MFG Budget</t>
  </si>
  <si>
    <t>26-27 Post MFG per pupil Budget</t>
  </si>
  <si>
    <t>26-27 NFF NNDR allocation</t>
  </si>
  <si>
    <t>Post De-delegation and Education functions budget after deduction of 26-27 NFF NNDR allocation</t>
  </si>
  <si>
    <t>2026/27 Rates</t>
  </si>
  <si>
    <t>142109</t>
  </si>
  <si>
    <t>Derby City Childminding Network - Catherine Laura O'Brien</t>
  </si>
  <si>
    <t>639324</t>
  </si>
  <si>
    <t>639326</t>
  </si>
  <si>
    <t>Derby City Childminding Network - Emma Louise Shepard-Brown</t>
  </si>
  <si>
    <t>639329</t>
  </si>
  <si>
    <t>639327</t>
  </si>
  <si>
    <t>Derby City Childminding Network - Kirsty Louise Roome</t>
  </si>
  <si>
    <t>2818535</t>
  </si>
  <si>
    <t>639322</t>
  </si>
  <si>
    <t>639323</t>
  </si>
  <si>
    <t>Little Oaks Nursery</t>
  </si>
  <si>
    <t>2823129</t>
  </si>
  <si>
    <t>Little Owls Nursery Alvaston</t>
  </si>
  <si>
    <t>2851043</t>
  </si>
  <si>
    <t>639325</t>
  </si>
  <si>
    <t>Royal School For The Deaf - Nursery Unit</t>
  </si>
  <si>
    <t>639333</t>
  </si>
  <si>
    <t>Amount per pupil 2026/27</t>
  </si>
  <si>
    <t>Special School Budget 2026/27</t>
  </si>
  <si>
    <t>Early Years Budget Detail 2026/27</t>
  </si>
  <si>
    <t>Schools Block Budget Detail 2026/27</t>
  </si>
  <si>
    <t>PVI Early Years Budget 2026/27</t>
  </si>
  <si>
    <t>Schools Summary Budgets for 2026/27</t>
  </si>
  <si>
    <t>RATES 2026-27 (NFF NNDR indicative allocation)</t>
  </si>
  <si>
    <t>De-delegation from Maintained Schools 2026-27</t>
  </si>
  <si>
    <t>Enhanced Resource Place Budget 2026/27</t>
  </si>
  <si>
    <t>Derby City Childminding Network - Abiola Joanne</t>
  </si>
  <si>
    <t>639331</t>
  </si>
  <si>
    <t>639330</t>
  </si>
  <si>
    <t>639260</t>
  </si>
  <si>
    <t>Little Owls Nursery</t>
  </si>
  <si>
    <t>639332</t>
  </si>
  <si>
    <t>Derby City Childminding Network - Chloe Joanne Horsley</t>
  </si>
  <si>
    <t>2837122</t>
  </si>
  <si>
    <t>639251</t>
  </si>
  <si>
    <t>The Cottage Private Day Nursery (55 Bedford Street)</t>
  </si>
  <si>
    <t>639334</t>
  </si>
  <si>
    <t xml:space="preserve">Derby City Childminding Network - Christelle Simmons </t>
  </si>
  <si>
    <t>EY539626</t>
  </si>
  <si>
    <t>Castle School</t>
  </si>
  <si>
    <t>Legacy 25/26</t>
  </si>
  <si>
    <t>Teachers pay and pensions 25/26</t>
  </si>
  <si>
    <t>CSBG 25/26</t>
  </si>
  <si>
    <t>CSBG 26/27</t>
  </si>
  <si>
    <t>variance</t>
  </si>
  <si>
    <t xml:space="preserve">DSG allocation </t>
  </si>
  <si>
    <t xml:space="preserve">Bridge Street </t>
  </si>
  <si>
    <t>Will they being going through matrix for April 26 start</t>
  </si>
  <si>
    <t>will they being going through matrix for April 27 start</t>
  </si>
  <si>
    <t>matrix increase in per place cost</t>
  </si>
  <si>
    <t>will they being going through matrix for September 27 start</t>
  </si>
  <si>
    <t>will they be going through the matrix in September 26</t>
  </si>
  <si>
    <t>YMCA</t>
  </si>
  <si>
    <t>Derby College</t>
  </si>
  <si>
    <t>Derby City Council / Transition 2</t>
  </si>
  <si>
    <t>not opening in 25-26</t>
  </si>
  <si>
    <t>not open until Jan 26</t>
  </si>
  <si>
    <t>Error should only be 40  - add income to offset over commissioned numbers</t>
  </si>
  <si>
    <t>to increase to 48 from september</t>
  </si>
  <si>
    <t>Places not updated for 26/27</t>
  </si>
  <si>
    <t>Early Years Settings in Derby</t>
  </si>
  <si>
    <t>There are no leaver on the maintained side for infant, Junior, Primary or Secondary schools</t>
  </si>
  <si>
    <t>Average cost per place 26-27</t>
  </si>
  <si>
    <t>Average cost per place 25-26</t>
  </si>
  <si>
    <t>Other LA funding</t>
  </si>
  <si>
    <t>Post 16 high needs deduction</t>
  </si>
  <si>
    <t>Matrix review expected increase in Element 3 amount</t>
  </si>
  <si>
    <t>Legacy Funding - this includes - historical teacher pay and pension, Autumn 22 funding and core school budget grant for Special and AP schools - NI grant and SBSG grant fro ERS units</t>
  </si>
  <si>
    <t>Budget For E3 for known on contrOCC</t>
  </si>
  <si>
    <t>Vacant Places - based on being free from September 2025 - Could be currently filled by other LA's no marker on controcc</t>
  </si>
  <si>
    <t>Places AY 26/27</t>
  </si>
  <si>
    <t>Current FTE for E3 in ContrOCC for 26/27</t>
  </si>
  <si>
    <t>High Needs Budget for 2026-27</t>
  </si>
  <si>
    <t>Legacy funding including historic teacher pay and pension, Autumn 22 funding and core schools budget grant
£</t>
  </si>
  <si>
    <t>Estimated Element 3 based 25-26 rate x places agreed as at time of budget setting
£</t>
  </si>
  <si>
    <t>Checked</t>
  </si>
  <si>
    <t>Borrow Wood Primary Academy</t>
  </si>
  <si>
    <t>May 2026 Term Hours</t>
  </si>
  <si>
    <t>Oct 2026 Term Hours</t>
  </si>
  <si>
    <t>Jan 2027 Term Hours</t>
  </si>
  <si>
    <t>Academy</t>
  </si>
  <si>
    <t>SEN/Special</t>
  </si>
  <si>
    <t>Minimum Funding level per pupil / MFG (0.0%) / Capping (2.19%) &amp; Scaling (67.20%)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</si>
</sst>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8" formatCode="&quot;£&quot;#,##0.00;[Red]\-&quot;£&quot;#,##0.00"/>
    <numFmt numFmtId="44" formatCode="_-&quot;£&quot;* #,##0.00_-;\-&quot;£&quot;* #,##0.00_-;_-&quot;£&quot;* &quot;-&quot;??_-;_-@_-"/>
    <numFmt numFmtId="43" formatCode="_-* #,##0.00_-;\-* #,##0.00_-;_-* &quot;-&quot;??_-;_-@_-"/>
    <numFmt numFmtId="164" formatCode="&quot;£&quot;#,##0"/>
    <numFmt numFmtId="165" formatCode="&quot;£&quot;#,##0.00"/>
    <numFmt numFmtId="166" formatCode="_(&quot;$&quot;* #,##0.00_);_(&quot;$&quot;* \(#,##0.00\);_(&quot;$&quot;* &quot;-&quot;??_);_(@_)"/>
    <numFmt numFmtId="167" formatCode="_-* #,##0_-;\-* #,##0_-;_-* &quot;-&quot;??_-;_-@_-"/>
    <numFmt numFmtId="168" formatCode="#,##0;\(#,##0\)"/>
    <numFmt numFmtId="169" formatCode="_(&quot;£&quot;* #,##0.00_);_(&quot;£&quot;* \(#,##0.00\);_(&quot;£&quot;* &quot;-&quot;??_);_(@_)"/>
    <numFmt numFmtId="170" formatCode="_(* #,##0.00_);_(* \(#,##0.00\);_(* &quot;-&quot;??_);_(@_)"/>
    <numFmt numFmtId="171" formatCode="&quot;£&quot;#,##0.0000000"/>
    <numFmt numFmtId="172" formatCode="#,##0_ ;\-#,##0\ "/>
    <numFmt numFmtId="173" formatCode="#,##0.0000"/>
    <numFmt numFmtId="174" formatCode="&quot;£&quot;#,##0.00_);[Red]\(&quot;£&quot;#,##0.00\)"/>
    <numFmt numFmtId="175" formatCode="####"/>
    <numFmt numFmtId="176" formatCode="_-[$£-809]* #,##0.00_-;\-[$£-809]* #,##0.00_-;_-[$£-809]* &quot;-&quot;??_-;_-@_-"/>
  </numFmts>
  <fonts count="7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2"/>
      <name val="Arial"/>
      <family val="2"/>
    </font>
    <font>
      <b/>
      <sz val="10"/>
      <name val="Arial"/>
      <family val="2"/>
    </font>
    <font>
      <sz val="12"/>
      <name val="Arial"/>
      <family val="2"/>
    </font>
    <font>
      <sz val="10"/>
      <name val="Arial"/>
      <family val="2"/>
    </font>
    <font>
      <b/>
      <sz val="8"/>
      <name val="Arial"/>
      <family val="2"/>
    </font>
    <font>
      <sz val="8"/>
      <name val="Arial"/>
      <family val="2"/>
    </font>
    <font>
      <sz val="9"/>
      <color indexed="81"/>
      <name val="Tahoma"/>
      <family val="2"/>
    </font>
    <font>
      <b/>
      <sz val="9"/>
      <color indexed="81"/>
      <name val="Tahoma"/>
      <family val="2"/>
    </font>
    <font>
      <sz val="11"/>
      <name val="Calibri"/>
      <family val="2"/>
      <scheme val="minor"/>
    </font>
    <font>
      <sz val="10"/>
      <color indexed="21"/>
      <name val="System"/>
      <family val="2"/>
    </font>
    <font>
      <sz val="9"/>
      <color indexed="18"/>
      <name val="Arial"/>
      <family val="2"/>
    </font>
    <font>
      <sz val="10"/>
      <color indexed="18"/>
      <name val="System"/>
      <family val="2"/>
    </font>
    <font>
      <i/>
      <sz val="10"/>
      <color indexed="17"/>
      <name val="System"/>
      <family val="2"/>
    </font>
    <font>
      <sz val="11"/>
      <color indexed="8"/>
      <name val="Calibri"/>
      <family val="2"/>
    </font>
    <font>
      <sz val="11"/>
      <color theme="1"/>
      <name val="Calibri"/>
      <family val="2"/>
      <scheme val="minor"/>
    </font>
    <font>
      <sz val="10"/>
      <color indexed="14"/>
      <name val="System"/>
      <family val="2"/>
    </font>
    <font>
      <sz val="9"/>
      <name val="Arial"/>
      <family val="2"/>
    </font>
    <font>
      <sz val="10"/>
      <color indexed="17"/>
      <name val="System"/>
      <family val="2"/>
    </font>
    <font>
      <sz val="10"/>
      <name val="Arial"/>
      <family val="2"/>
    </font>
    <font>
      <b/>
      <sz val="10"/>
      <color indexed="23"/>
      <name val="Arial"/>
      <family val="2"/>
    </font>
    <font>
      <sz val="10"/>
      <color indexed="23"/>
      <name val="Arial"/>
      <family val="2"/>
    </font>
    <font>
      <b/>
      <sz val="10"/>
      <color indexed="55"/>
      <name val="Arial"/>
      <family val="2"/>
    </font>
    <font>
      <sz val="10"/>
      <color indexed="55"/>
      <name val="Arial"/>
      <family val="2"/>
    </font>
    <font>
      <sz val="10"/>
      <name val="Arial"/>
      <family val="2"/>
    </font>
    <font>
      <sz val="10"/>
      <color indexed="9"/>
      <name val="Arial"/>
      <family val="2"/>
    </font>
    <font>
      <u/>
      <sz val="10"/>
      <color indexed="12"/>
      <name val="Arial"/>
      <family val="2"/>
    </font>
    <font>
      <sz val="10"/>
      <color rgb="FF000000"/>
      <name val="Arial"/>
      <family val="2"/>
    </font>
    <font>
      <sz val="11"/>
      <color rgb="FF000000"/>
      <name val="Calibri"/>
      <family val="2"/>
      <scheme val="minor"/>
    </font>
    <font>
      <sz val="10"/>
      <name val="Arial"/>
      <family val="2"/>
    </font>
    <font>
      <b/>
      <sz val="11"/>
      <color theme="1"/>
      <name val="Calibri"/>
      <family val="2"/>
      <scheme val="minor"/>
    </font>
    <font>
      <sz val="12"/>
      <color theme="1"/>
      <name val="Arial"/>
      <family val="2"/>
    </font>
    <font>
      <sz val="10"/>
      <name val="Arial"/>
      <family val="2"/>
    </font>
    <font>
      <sz val="12"/>
      <color indexed="8"/>
      <name val="Arial"/>
      <family val="2"/>
    </font>
    <font>
      <b/>
      <sz val="12"/>
      <color theme="0" tint="-0.14996795556505021"/>
      <name val="Arial"/>
      <family val="2"/>
    </font>
    <font>
      <sz val="10"/>
      <name val="Arial"/>
      <family val="2"/>
    </font>
    <font>
      <sz val="12"/>
      <color theme="0"/>
      <name val="Arial"/>
      <family val="2"/>
    </font>
    <font>
      <u/>
      <sz val="10"/>
      <color theme="10"/>
      <name val="Arial"/>
      <family val="2"/>
    </font>
    <font>
      <sz val="10"/>
      <color theme="1"/>
      <name val="Calibri"/>
      <family val="2"/>
      <scheme val="minor"/>
    </font>
    <font>
      <b/>
      <sz val="14"/>
      <name val="Arial"/>
      <family val="2"/>
    </font>
    <font>
      <b/>
      <sz val="16"/>
      <name val="Arial"/>
      <family val="2"/>
    </font>
    <font>
      <sz val="11"/>
      <color rgb="FFFF0000"/>
      <name val="Calibri"/>
      <family val="2"/>
      <scheme val="minor"/>
    </font>
    <font>
      <sz val="14"/>
      <color theme="1"/>
      <name val="Arial"/>
      <family val="2"/>
    </font>
    <font>
      <b/>
      <sz val="11"/>
      <color theme="1"/>
      <name val="Arial"/>
      <family val="2"/>
    </font>
    <font>
      <b/>
      <sz val="18"/>
      <color theme="1"/>
      <name val="Arial"/>
      <family val="2"/>
    </font>
    <font>
      <sz val="16"/>
      <color theme="1"/>
      <name val="Arial"/>
      <family val="2"/>
    </font>
    <font>
      <b/>
      <sz val="16"/>
      <color theme="1"/>
      <name val="Arial"/>
      <family val="2"/>
    </font>
    <font>
      <sz val="10"/>
      <color theme="0"/>
      <name val="Arial"/>
      <family val="2"/>
    </font>
    <font>
      <sz val="8"/>
      <color indexed="81"/>
      <name val="Tahoma"/>
      <family val="2"/>
    </font>
    <font>
      <u/>
      <sz val="14"/>
      <color theme="1"/>
      <name val="Calibri"/>
      <family val="2"/>
      <scheme val="minor"/>
    </font>
    <font>
      <sz val="10"/>
      <color rgb="FF4D4D4D"/>
      <name val="Tahoma"/>
      <family val="2"/>
    </font>
    <font>
      <b/>
      <sz val="14"/>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b/>
      <u/>
      <sz val="11"/>
      <name val="Verdana"/>
      <family val="2"/>
    </font>
    <font>
      <b/>
      <sz val="11"/>
      <name val="Verdana"/>
      <family val="2"/>
    </font>
    <font>
      <sz val="11"/>
      <color theme="1"/>
      <name val="Verdana"/>
      <family val="2"/>
    </font>
    <font>
      <sz val="11"/>
      <name val="Verdana"/>
      <family val="2"/>
    </font>
    <font>
      <b/>
      <u/>
      <sz val="12"/>
      <color theme="1"/>
      <name val="Arial"/>
      <family val="2"/>
    </font>
    <font>
      <b/>
      <sz val="10"/>
      <color theme="0"/>
      <name val="Arial"/>
      <family val="2"/>
    </font>
    <font>
      <sz val="10"/>
      <color rgb="FFFF0000"/>
      <name val="Arial"/>
      <family val="2"/>
    </font>
    <font>
      <sz val="12"/>
      <color rgb="FFFF0000"/>
      <name val="Arial"/>
      <family val="2"/>
    </font>
    <font>
      <b/>
      <sz val="12"/>
      <color rgb="FFFF0000"/>
      <name val="Arial"/>
      <family val="2"/>
    </font>
  </fonts>
  <fills count="2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indexed="5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patternFill>
    </fill>
    <fill>
      <patternFill patternType="solid">
        <fgColor theme="0" tint="-0.499984740745262"/>
        <bgColor indexed="64"/>
      </patternFill>
    </fill>
    <fill>
      <patternFill patternType="solid">
        <fgColor theme="1"/>
        <bgColor indexed="64"/>
      </patternFill>
    </fill>
    <fill>
      <patternFill patternType="solid">
        <fgColor theme="9"/>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8" tint="0.59999389629810485"/>
        <bgColor indexed="64"/>
      </patternFill>
    </fill>
    <fill>
      <patternFill patternType="solid">
        <fgColor rgb="FFD9D9D7"/>
        <bgColor indexed="64"/>
      </patternFill>
    </fill>
    <fill>
      <patternFill patternType="solid">
        <fgColor theme="9" tint="0.79998168889431442"/>
        <bgColor indexed="64"/>
      </patternFill>
    </fill>
    <fill>
      <patternFill patternType="solid">
        <fgColor rgb="FFFFFF99"/>
        <bgColor indexed="64"/>
      </patternFill>
    </fill>
    <fill>
      <patternFill patternType="solid">
        <fgColor rgb="FFC0C0C0"/>
        <bgColor indexed="64"/>
      </patternFill>
    </fill>
    <fill>
      <patternFill patternType="solid">
        <fgColor theme="8" tint="0.39997558519241921"/>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rgb="FFCCCCFF"/>
        <bgColor indexed="64"/>
      </patternFill>
    </fill>
    <fill>
      <patternFill patternType="solid">
        <fgColor rgb="FF9999FF"/>
        <bgColor indexed="64"/>
      </patternFill>
    </fill>
    <fill>
      <patternFill patternType="solid">
        <fgColor theme="0" tint="-0.34998626667073579"/>
        <bgColor indexed="64"/>
      </patternFill>
    </fill>
    <fill>
      <patternFill patternType="solid">
        <fgColor theme="6" tint="0.79998168889431442"/>
        <bgColor indexed="64"/>
      </patternFill>
    </fill>
  </fills>
  <borders count="10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13"/>
      </top>
      <bottom style="thin">
        <color indexed="13"/>
      </bottom>
      <diagonal/>
    </border>
    <border>
      <left/>
      <right style="medium">
        <color indexed="33"/>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medium">
        <color indexed="64"/>
      </top>
      <bottom/>
      <diagonal/>
    </border>
    <border>
      <left style="thin">
        <color auto="1"/>
      </left>
      <right style="thin">
        <color auto="1"/>
      </right>
      <top/>
      <bottom style="thin">
        <color auto="1"/>
      </bottom>
      <diagonal/>
    </border>
    <border>
      <left/>
      <right/>
      <top style="thin">
        <color auto="1"/>
      </top>
      <bottom style="thin">
        <color indexed="64"/>
      </bottom>
      <diagonal/>
    </border>
    <border>
      <left/>
      <right style="thick">
        <color indexed="64"/>
      </right>
      <top style="medium">
        <color indexed="64"/>
      </top>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right/>
      <top style="thin">
        <color auto="1"/>
      </top>
      <bottom/>
      <diagonal/>
    </border>
    <border>
      <left/>
      <right/>
      <top style="thick">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23"/>
      </right>
      <top/>
      <bottom style="thin">
        <color indexed="23"/>
      </bottom>
      <diagonal/>
    </border>
    <border>
      <left style="thin">
        <color theme="2" tint="-0.499984740745262"/>
      </left>
      <right style="thin">
        <color theme="2" tint="-0.499984740745262"/>
      </right>
      <top style="medium">
        <color indexed="64"/>
      </top>
      <bottom style="medium">
        <color indexed="64"/>
      </bottom>
      <diagonal/>
    </border>
    <border>
      <left style="thin">
        <color theme="2" tint="-0.499984740745262"/>
      </left>
      <right/>
      <top style="medium">
        <color indexed="64"/>
      </top>
      <bottom style="medium">
        <color indexed="64"/>
      </bottom>
      <diagonal/>
    </border>
    <border>
      <left/>
      <right style="thin">
        <color theme="2" tint="-0.499984740745262"/>
      </right>
      <top style="medium">
        <color indexed="64"/>
      </top>
      <bottom style="medium">
        <color indexed="64"/>
      </bottom>
      <diagonal/>
    </border>
    <border>
      <left style="medium">
        <color indexed="64"/>
      </left>
      <right/>
      <top style="thin">
        <color theme="2" tint="-0.499984740745262"/>
      </top>
      <bottom style="double">
        <color theme="2" tint="-0.499984740745262"/>
      </bottom>
      <diagonal/>
    </border>
    <border>
      <left/>
      <right/>
      <top style="thin">
        <color theme="2" tint="-0.499984740745262"/>
      </top>
      <bottom style="double">
        <color theme="2" tint="-0.499984740745262"/>
      </bottom>
      <diagonal/>
    </border>
    <border>
      <left style="medium">
        <color indexed="64"/>
      </left>
      <right/>
      <top style="medium">
        <color indexed="64"/>
      </top>
      <bottom style="double">
        <color theme="2" tint="-0.499984740745262"/>
      </bottom>
      <diagonal/>
    </border>
    <border>
      <left/>
      <right/>
      <top style="medium">
        <color indexed="64"/>
      </top>
      <bottom style="double">
        <color theme="2" tint="-0.499984740745262"/>
      </bottom>
      <diagonal/>
    </border>
    <border>
      <left/>
      <right style="medium">
        <color indexed="64"/>
      </right>
      <top style="medium">
        <color indexed="64"/>
      </top>
      <bottom style="double">
        <color theme="2" tint="-0.499984740745262"/>
      </bottom>
      <diagonal/>
    </border>
    <border>
      <left style="medium">
        <color indexed="64"/>
      </left>
      <right style="medium">
        <color indexed="64"/>
      </right>
      <top style="medium">
        <color indexed="64"/>
      </top>
      <bottom style="double">
        <color theme="2" tint="-0.499984740745262"/>
      </bottom>
      <diagonal/>
    </border>
    <border>
      <left style="medium">
        <color indexed="64"/>
      </left>
      <right/>
      <top style="thin">
        <color theme="2" tint="-0.249977111117893"/>
      </top>
      <bottom/>
      <diagonal/>
    </border>
    <border>
      <left/>
      <right style="medium">
        <color indexed="64"/>
      </right>
      <top style="thin">
        <color theme="2" tint="-0.499984740745262"/>
      </top>
      <bottom style="double">
        <color theme="2" tint="-0.499984740745262"/>
      </bottom>
      <diagonal/>
    </border>
    <border>
      <left style="medium">
        <color indexed="64"/>
      </left>
      <right style="medium">
        <color indexed="64"/>
      </right>
      <top style="thin">
        <color theme="2" tint="-0.499984740745262"/>
      </top>
      <bottom style="double">
        <color theme="2" tint="-0.499984740745262"/>
      </bottom>
      <diagonal/>
    </border>
    <border>
      <left style="medium">
        <color indexed="64"/>
      </left>
      <right/>
      <top style="thin">
        <color theme="2" tint="-0.499984740745262"/>
      </top>
      <bottom style="medium">
        <color indexed="64"/>
      </bottom>
      <diagonal/>
    </border>
    <border>
      <left/>
      <right/>
      <top style="thin">
        <color theme="2" tint="-0.499984740745262"/>
      </top>
      <bottom style="medium">
        <color indexed="64"/>
      </bottom>
      <diagonal/>
    </border>
    <border>
      <left/>
      <right style="medium">
        <color indexed="64"/>
      </right>
      <top style="thin">
        <color theme="2" tint="-0.499984740745262"/>
      </top>
      <bottom style="medium">
        <color indexed="64"/>
      </bottom>
      <diagonal/>
    </border>
    <border>
      <left style="medium">
        <color indexed="64"/>
      </left>
      <right style="medium">
        <color indexed="64"/>
      </right>
      <top style="thin">
        <color theme="2" tint="-0.499984740745262"/>
      </top>
      <bottom style="medium">
        <color indexed="64"/>
      </bottom>
      <diagonal/>
    </border>
    <border>
      <left style="thin">
        <color rgb="FFE5E5E5"/>
      </left>
      <right style="thin">
        <color rgb="FFE5E5E5"/>
      </right>
      <top style="thin">
        <color rgb="FFE5E5E5"/>
      </top>
      <bottom style="thin">
        <color rgb="FFE5E5E5"/>
      </bottom>
      <diagonal/>
    </border>
    <border>
      <left style="thin">
        <color rgb="FFE5E5E5"/>
      </left>
      <right/>
      <top style="thin">
        <color rgb="FFE5E5E5"/>
      </top>
      <bottom style="thin">
        <color rgb="FFE5E5E5"/>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bottom style="thin">
        <color auto="1"/>
      </bottom>
      <diagonal/>
    </border>
  </borders>
  <cellStyleXfs count="138">
    <xf numFmtId="0" fontId="0" fillId="0" borderId="0"/>
    <xf numFmtId="0" fontId="12" fillId="0" borderId="0"/>
    <xf numFmtId="9" fontId="12" fillId="0" borderId="0" applyFont="0" applyFill="0" applyBorder="0" applyAlignment="0" applyProtection="0"/>
    <xf numFmtId="0" fontId="12" fillId="0" borderId="0"/>
    <xf numFmtId="0" fontId="13" fillId="0" borderId="0">
      <alignment horizontal="center" vertical="center" wrapText="1"/>
    </xf>
    <xf numFmtId="0" fontId="14" fillId="0" borderId="17">
      <alignment horizontal="center" vertical="center" wrapText="1"/>
    </xf>
    <xf numFmtId="0" fontId="13" fillId="0" borderId="0">
      <alignment horizontal="left" wrapText="1"/>
    </xf>
    <xf numFmtId="0" fontId="14" fillId="0" borderId="0">
      <alignment horizontal="left" vertical="center"/>
    </xf>
    <xf numFmtId="0" fontId="14" fillId="0" borderId="0">
      <alignment horizontal="center" vertical="center"/>
    </xf>
    <xf numFmtId="3" fontId="14" fillId="0" borderId="0">
      <alignment horizontal="right"/>
    </xf>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8" fillId="0" borderId="0" applyNumberFormat="0" applyFill="0" applyBorder="0" applyAlignment="0" applyProtection="0">
      <protection locked="0"/>
    </xf>
    <xf numFmtId="1" fontId="19" fillId="0" borderId="0" applyNumberFormat="0" applyFill="0" applyBorder="0" applyAlignment="0" applyProtection="0"/>
    <xf numFmtId="1" fontId="20" fillId="0" borderId="0" applyNumberFormat="0" applyFill="0" applyBorder="0" applyAlignment="0" applyProtection="0"/>
    <xf numFmtId="10" fontId="21" fillId="0" borderId="18" applyFill="0" applyAlignment="0" applyProtection="0">
      <protection locked="0"/>
    </xf>
    <xf numFmtId="0" fontId="22" fillId="0" borderId="0"/>
    <xf numFmtId="0" fontId="12" fillId="0" borderId="0"/>
    <xf numFmtId="0" fontId="23" fillId="0" borderId="0"/>
    <xf numFmtId="9" fontId="12" fillId="0" borderId="0" applyFont="0" applyFill="0" applyBorder="0" applyAlignment="0" applyProtection="0"/>
    <xf numFmtId="1" fontId="24" fillId="0" borderId="19" applyNumberFormat="0" applyFill="0" applyBorder="0" applyAlignment="0" applyProtection="0"/>
    <xf numFmtId="0" fontId="12" fillId="0" borderId="0"/>
    <xf numFmtId="0" fontId="14" fillId="0" borderId="20" applyBorder="0">
      <alignment horizontal="right"/>
    </xf>
    <xf numFmtId="166" fontId="12" fillId="0" borderId="0"/>
    <xf numFmtId="166" fontId="12" fillId="0" borderId="0"/>
    <xf numFmtId="166" fontId="12" fillId="0" borderId="0"/>
    <xf numFmtId="0" fontId="25" fillId="0" borderId="0" applyNumberFormat="0" applyFill="0" applyBorder="0" applyAlignment="0" applyProtection="0"/>
    <xf numFmtId="0" fontId="26" fillId="0" borderId="0" applyNumberFormat="0" applyFill="0" applyBorder="0" applyAlignment="0" applyProtection="0"/>
    <xf numFmtId="0" fontId="7" fillId="0" borderId="0"/>
    <xf numFmtId="0" fontId="7" fillId="0" borderId="0"/>
    <xf numFmtId="0" fontId="12" fillId="0" borderId="0"/>
    <xf numFmtId="0" fontId="27" fillId="0" borderId="0"/>
    <xf numFmtId="0" fontId="7" fillId="0" borderId="0"/>
    <xf numFmtId="0" fontId="12" fillId="0" borderId="0"/>
    <xf numFmtId="0" fontId="12" fillId="0" borderId="0"/>
    <xf numFmtId="0" fontId="7" fillId="0" borderId="0"/>
    <xf numFmtId="0" fontId="7" fillId="0" borderId="0"/>
    <xf numFmtId="0" fontId="12" fillId="0" borderId="0"/>
    <xf numFmtId="0" fontId="12" fillId="0" borderId="0"/>
    <xf numFmtId="0" fontId="32" fillId="0" borderId="0"/>
    <xf numFmtId="0" fontId="7" fillId="0" borderId="0"/>
    <xf numFmtId="0" fontId="12" fillId="0" borderId="0"/>
    <xf numFmtId="43" fontId="7" fillId="0" borderId="0" applyFont="0" applyFill="0" applyBorder="0" applyAlignment="0" applyProtection="0"/>
    <xf numFmtId="9" fontId="7" fillId="0" borderId="0" applyFont="0" applyFill="0" applyBorder="0" applyAlignment="0" applyProtection="0"/>
    <xf numFmtId="0" fontId="23" fillId="0" borderId="0"/>
    <xf numFmtId="0" fontId="12" fillId="0" borderId="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0" fontId="34" fillId="0" borderId="0" applyNumberFormat="0" applyFill="0" applyBorder="0" applyAlignment="0" applyProtection="0">
      <alignment vertical="top"/>
      <protection locked="0"/>
    </xf>
    <xf numFmtId="0" fontId="23"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0" fontId="7" fillId="0" borderId="0"/>
    <xf numFmtId="0" fontId="12" fillId="0" borderId="0"/>
    <xf numFmtId="0" fontId="12" fillId="0" borderId="0"/>
    <xf numFmtId="0" fontId="12" fillId="0" borderId="0"/>
    <xf numFmtId="0" fontId="36" fillId="0" borderId="0"/>
    <xf numFmtId="0" fontId="37" fillId="0" borderId="0"/>
    <xf numFmtId="0" fontId="39" fillId="0" borderId="0"/>
    <xf numFmtId="0" fontId="39" fillId="0" borderId="0"/>
    <xf numFmtId="0" fontId="40" fillId="0" borderId="0"/>
    <xf numFmtId="43" fontId="7" fillId="0" borderId="0" applyFont="0" applyFill="0" applyBorder="0" applyAlignment="0" applyProtection="0"/>
    <xf numFmtId="0" fontId="14" fillId="0" borderId="17">
      <alignment horizontal="center" vertical="center" wrapText="1"/>
    </xf>
    <xf numFmtId="0" fontId="14" fillId="0" borderId="17">
      <alignment horizontal="center" vertical="center" wrapText="1"/>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10" fontId="21" fillId="0" borderId="18" applyFill="0" applyAlignment="0" applyProtection="0">
      <protection locked="0"/>
    </xf>
    <xf numFmtId="0" fontId="23" fillId="0" borderId="0"/>
    <xf numFmtId="0" fontId="23" fillId="0" borderId="0"/>
    <xf numFmtId="0" fontId="12" fillId="0" borderId="0"/>
    <xf numFmtId="0" fontId="7" fillId="0" borderId="0"/>
    <xf numFmtId="0" fontId="39" fillId="0" borderId="0"/>
    <xf numFmtId="0" fontId="7" fillId="8" borderId="61" applyNumberFormat="0" applyFont="0" applyAlignment="0" applyProtection="0"/>
    <xf numFmtId="0" fontId="7" fillId="8" borderId="61" applyNumberFormat="0" applyFont="0" applyAlignment="0" applyProtection="0"/>
    <xf numFmtId="9" fontId="7" fillId="0" borderId="0" applyFont="0" applyFill="0" applyBorder="0" applyAlignment="0" applyProtection="0"/>
    <xf numFmtId="9" fontId="41" fillId="0" borderId="0" applyFont="0" applyFill="0" applyBorder="0" applyAlignment="0" applyProtection="0"/>
    <xf numFmtId="0" fontId="6" fillId="0" borderId="0"/>
    <xf numFmtId="0" fontId="43" fillId="0" borderId="0"/>
    <xf numFmtId="0" fontId="5" fillId="0" borderId="0"/>
    <xf numFmtId="0" fontId="5" fillId="0" borderId="0"/>
    <xf numFmtId="0" fontId="36" fillId="0" borderId="0"/>
    <xf numFmtId="0" fontId="35" fillId="0" borderId="0">
      <alignment vertical="center"/>
    </xf>
    <xf numFmtId="0" fontId="4" fillId="0" borderId="0"/>
    <xf numFmtId="43" fontId="4" fillId="0" borderId="0" applyFont="0" applyFill="0" applyBorder="0" applyAlignment="0" applyProtection="0"/>
    <xf numFmtId="9" fontId="4" fillId="0" borderId="0" applyFont="0" applyFill="0" applyBorder="0" applyAlignment="0" applyProtection="0"/>
    <xf numFmtId="44" fontId="7" fillId="0" borderId="0" applyFont="0" applyFill="0" applyBorder="0" applyAlignment="0" applyProtection="0"/>
    <xf numFmtId="0" fontId="45" fillId="0" borderId="0" applyNumberFormat="0" applyFill="0" applyBorder="0" applyAlignment="0" applyProtection="0"/>
    <xf numFmtId="0" fontId="3" fillId="0" borderId="0"/>
    <xf numFmtId="43" fontId="3" fillId="0" borderId="0" applyFont="0" applyFill="0" applyBorder="0" applyAlignment="0" applyProtection="0"/>
    <xf numFmtId="0" fontId="1" fillId="0" borderId="0"/>
    <xf numFmtId="43" fontId="1" fillId="0" borderId="0" applyFont="0" applyFill="0" applyBorder="0" applyAlignment="0" applyProtection="0"/>
  </cellStyleXfs>
  <cellXfs count="816">
    <xf numFmtId="0" fontId="0" fillId="0" borderId="0" xfId="0"/>
    <xf numFmtId="0" fontId="12" fillId="0" borderId="0" xfId="1"/>
    <xf numFmtId="0" fontId="0" fillId="0" borderId="0" xfId="0" applyAlignment="1">
      <alignment vertical="center"/>
    </xf>
    <xf numFmtId="0" fontId="12" fillId="0" borderId="21" xfId="47" applyBorder="1" applyAlignment="1">
      <alignment horizontal="left" vertical="center" wrapText="1"/>
    </xf>
    <xf numFmtId="0" fontId="11" fillId="0" borderId="25" xfId="47" applyFont="1" applyBorder="1" applyAlignment="1">
      <alignment horizontal="left" vertical="center"/>
    </xf>
    <xf numFmtId="0" fontId="11" fillId="0" borderId="25" xfId="47" applyFont="1" applyBorder="1" applyAlignment="1">
      <alignment horizontal="left" vertical="center" wrapText="1"/>
    </xf>
    <xf numFmtId="0" fontId="27" fillId="0" borderId="0" xfId="37" applyAlignment="1">
      <alignment vertical="center"/>
    </xf>
    <xf numFmtId="0" fontId="0" fillId="0" borderId="0" xfId="0" applyAlignment="1">
      <alignment vertical="center" wrapText="1"/>
    </xf>
    <xf numFmtId="0" fontId="0" fillId="0" borderId="0" xfId="0" applyAlignment="1">
      <alignment horizontal="center" vertical="center"/>
    </xf>
    <xf numFmtId="0" fontId="8" fillId="0" borderId="0" xfId="0" applyFont="1" applyAlignment="1">
      <alignment vertical="center"/>
    </xf>
    <xf numFmtId="3" fontId="0" fillId="0" borderId="0" xfId="0" applyNumberFormat="1" applyAlignment="1">
      <alignment horizontal="center" vertical="center"/>
    </xf>
    <xf numFmtId="0" fontId="8" fillId="0" borderId="0" xfId="0" applyFont="1" applyAlignment="1">
      <alignment vertical="center" wrapText="1"/>
    </xf>
    <xf numFmtId="1" fontId="0" fillId="0" borderId="0" xfId="0" applyNumberFormat="1" applyAlignment="1">
      <alignment vertical="center"/>
    </xf>
    <xf numFmtId="0" fontId="10" fillId="4" borderId="0" xfId="47" applyFont="1" applyFill="1" applyAlignment="1">
      <alignment horizontal="left" vertical="center"/>
    </xf>
    <xf numFmtId="0" fontId="0" fillId="0" borderId="0" xfId="0" applyAlignment="1">
      <alignment horizontal="center" vertical="center" wrapText="1"/>
    </xf>
    <xf numFmtId="0" fontId="9" fillId="6" borderId="6" xfId="23" applyFont="1" applyFill="1" applyBorder="1" applyAlignment="1">
      <alignment horizontal="left" vertical="center"/>
    </xf>
    <xf numFmtId="0" fontId="9" fillId="6" borderId="33" xfId="47" applyFont="1" applyFill="1" applyBorder="1" applyAlignment="1">
      <alignment horizontal="left" vertical="center"/>
    </xf>
    <xf numFmtId="0" fontId="9" fillId="6" borderId="32" xfId="47" applyFont="1" applyFill="1" applyBorder="1" applyAlignment="1">
      <alignment horizontal="left" vertical="center" wrapText="1"/>
    </xf>
    <xf numFmtId="0" fontId="8" fillId="6" borderId="10" xfId="0" applyFont="1" applyFill="1" applyBorder="1" applyAlignment="1">
      <alignment horizontal="center" vertical="center" wrapText="1"/>
    </xf>
    <xf numFmtId="0" fontId="8" fillId="6" borderId="10" xfId="0" applyFont="1" applyFill="1" applyBorder="1" applyAlignment="1">
      <alignment vertical="center" wrapText="1"/>
    </xf>
    <xf numFmtId="0" fontId="8" fillId="6" borderId="16" xfId="0" applyFont="1" applyFill="1" applyBorder="1" applyAlignment="1">
      <alignment horizontal="center" vertical="center" wrapText="1"/>
    </xf>
    <xf numFmtId="0" fontId="8" fillId="6" borderId="5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2" fillId="0" borderId="10" xfId="1" applyBorder="1"/>
    <xf numFmtId="0" fontId="27" fillId="0" borderId="10" xfId="37" applyBorder="1" applyAlignment="1">
      <alignment horizontal="left" vertical="center"/>
    </xf>
    <xf numFmtId="0" fontId="27" fillId="0" borderId="10" xfId="37" applyBorder="1" applyAlignment="1">
      <alignment horizontal="center" vertical="center"/>
    </xf>
    <xf numFmtId="0" fontId="12" fillId="0" borderId="10" xfId="37" applyFont="1" applyBorder="1" applyAlignment="1">
      <alignment horizontal="center" vertical="center"/>
    </xf>
    <xf numFmtId="3" fontId="10" fillId="0" borderId="10" xfId="0" applyNumberFormat="1" applyFont="1" applyBorder="1" applyAlignment="1">
      <alignment horizontal="left" vertical="center"/>
    </xf>
    <xf numFmtId="3" fontId="10" fillId="0" borderId="10" xfId="0" applyNumberFormat="1" applyFont="1" applyBorder="1" applyAlignment="1">
      <alignment horizontal="center" vertical="center"/>
    </xf>
    <xf numFmtId="0" fontId="27" fillId="6" borderId="10" xfId="37" applyFill="1" applyBorder="1" applyAlignment="1">
      <alignment horizontal="center" vertical="center"/>
    </xf>
    <xf numFmtId="0" fontId="0" fillId="0" borderId="10" xfId="0" applyBorder="1" applyAlignment="1">
      <alignment vertical="center"/>
    </xf>
    <xf numFmtId="0" fontId="0" fillId="0" borderId="10" xfId="0" applyBorder="1" applyAlignment="1">
      <alignment horizontal="center" vertical="center"/>
    </xf>
    <xf numFmtId="0" fontId="8" fillId="0" borderId="10" xfId="0" applyFont="1" applyBorder="1" applyAlignment="1">
      <alignment horizontal="center" vertical="center"/>
    </xf>
    <xf numFmtId="0" fontId="8" fillId="0" borderId="10" xfId="0" applyFont="1" applyBorder="1" applyAlignment="1">
      <alignment vertical="center"/>
    </xf>
    <xf numFmtId="4" fontId="8" fillId="0" borderId="10" xfId="0" applyNumberFormat="1" applyFont="1" applyBorder="1" applyAlignment="1">
      <alignment horizontal="center" vertical="center"/>
    </xf>
    <xf numFmtId="165" fontId="8" fillId="0" borderId="10" xfId="0" applyNumberFormat="1" applyFont="1" applyBorder="1" applyAlignment="1">
      <alignment horizontal="center" vertical="center"/>
    </xf>
    <xf numFmtId="1" fontId="0" fillId="0" borderId="10" xfId="0" applyNumberFormat="1" applyBorder="1" applyAlignment="1">
      <alignment horizontal="center" vertical="center"/>
    </xf>
    <xf numFmtId="4" fontId="0" fillId="0" borderId="10" xfId="0" applyNumberFormat="1" applyBorder="1" applyAlignment="1">
      <alignment horizontal="center" vertical="center"/>
    </xf>
    <xf numFmtId="3" fontId="8" fillId="0" borderId="10" xfId="0" applyNumberFormat="1" applyFont="1" applyBorder="1" applyAlignment="1">
      <alignment horizontal="center" vertical="center"/>
    </xf>
    <xf numFmtId="44" fontId="12" fillId="0" borderId="0" xfId="132" applyFont="1" applyAlignment="1">
      <alignment horizontal="left"/>
    </xf>
    <xf numFmtId="44" fontId="0" fillId="0" borderId="0" xfId="132" applyFont="1" applyAlignment="1">
      <alignment horizontal="left" vertical="center"/>
    </xf>
    <xf numFmtId="0" fontId="9" fillId="0" borderId="27" xfId="47" applyFont="1" applyBorder="1" applyAlignment="1">
      <alignment horizontal="left" vertical="center" wrapText="1"/>
    </xf>
    <xf numFmtId="0" fontId="9" fillId="0" borderId="27" xfId="47" applyFont="1" applyBorder="1" applyAlignment="1">
      <alignment horizontal="left" vertical="center"/>
    </xf>
    <xf numFmtId="0" fontId="45" fillId="0" borderId="0" xfId="133" applyAlignment="1">
      <alignment vertical="center"/>
    </xf>
    <xf numFmtId="0" fontId="45" fillId="0" borderId="0" xfId="133" applyAlignment="1">
      <alignment horizontal="center" vertical="center"/>
    </xf>
    <xf numFmtId="0" fontId="45" fillId="0" borderId="0" xfId="133" applyAlignment="1">
      <alignment horizontal="left" vertical="center"/>
    </xf>
    <xf numFmtId="0" fontId="45" fillId="0" borderId="0" xfId="133" applyAlignment="1">
      <alignment vertical="center" wrapText="1"/>
    </xf>
    <xf numFmtId="0" fontId="9" fillId="4" borderId="24" xfId="47" applyFont="1" applyFill="1" applyBorder="1" applyAlignment="1">
      <alignment horizontal="left" vertical="center" wrapText="1"/>
    </xf>
    <xf numFmtId="0" fontId="9" fillId="4" borderId="0" xfId="47" applyFont="1" applyFill="1" applyAlignment="1">
      <alignment horizontal="left" vertical="center" wrapText="1"/>
    </xf>
    <xf numFmtId="0" fontId="12" fillId="4" borderId="0" xfId="47" applyFill="1" applyAlignment="1">
      <alignment horizontal="left" vertical="center" wrapText="1"/>
    </xf>
    <xf numFmtId="0" fontId="12" fillId="4" borderId="0" xfId="47" applyFill="1" applyAlignment="1">
      <alignment horizontal="left" vertical="center"/>
    </xf>
    <xf numFmtId="3" fontId="12" fillId="4" borderId="0" xfId="47" applyNumberFormat="1" applyFill="1" applyAlignment="1">
      <alignment horizontal="left" vertical="center"/>
    </xf>
    <xf numFmtId="0" fontId="12" fillId="4" borderId="24" xfId="47" applyFill="1" applyBorder="1" applyAlignment="1">
      <alignment horizontal="left" vertical="center"/>
    </xf>
    <xf numFmtId="3" fontId="12" fillId="4" borderId="2" xfId="47" applyNumberFormat="1" applyFill="1" applyBorder="1" applyAlignment="1">
      <alignment horizontal="left" vertical="center"/>
    </xf>
    <xf numFmtId="0" fontId="12" fillId="4" borderId="3" xfId="47" applyFill="1" applyBorder="1" applyAlignment="1">
      <alignment horizontal="left" vertical="center"/>
    </xf>
    <xf numFmtId="0" fontId="11" fillId="4" borderId="0" xfId="23" applyFont="1" applyFill="1" applyAlignment="1">
      <alignment horizontal="left" vertical="center"/>
    </xf>
    <xf numFmtId="0" fontId="9" fillId="4" borderId="0" xfId="23" applyFont="1" applyFill="1" applyAlignment="1">
      <alignment horizontal="left" vertical="center"/>
    </xf>
    <xf numFmtId="0" fontId="9" fillId="4" borderId="0" xfId="23" applyFont="1" applyFill="1" applyAlignment="1">
      <alignment horizontal="left" vertical="center" wrapText="1"/>
    </xf>
    <xf numFmtId="0" fontId="9" fillId="4" borderId="3" xfId="23" applyFont="1" applyFill="1" applyBorder="1" applyAlignment="1">
      <alignment horizontal="left" vertical="center"/>
    </xf>
    <xf numFmtId="0" fontId="9" fillId="4" borderId="0" xfId="47" applyFont="1" applyFill="1" applyAlignment="1">
      <alignment horizontal="left" vertical="center"/>
    </xf>
    <xf numFmtId="165" fontId="9" fillId="4" borderId="0" xfId="23" applyNumberFormat="1" applyFont="1" applyFill="1" applyAlignment="1">
      <alignment horizontal="left" vertical="center" wrapText="1"/>
    </xf>
    <xf numFmtId="164" fontId="11" fillId="4" borderId="0" xfId="23" applyNumberFormat="1" applyFont="1" applyFill="1" applyAlignment="1">
      <alignment horizontal="left" vertical="center"/>
    </xf>
    <xf numFmtId="165" fontId="11" fillId="4" borderId="0" xfId="23" applyNumberFormat="1" applyFont="1" applyFill="1" applyAlignment="1">
      <alignment horizontal="left" vertical="center"/>
    </xf>
    <xf numFmtId="0" fontId="9" fillId="6" borderId="33" xfId="23" applyFont="1" applyFill="1" applyBorder="1" applyAlignment="1">
      <alignment horizontal="left" vertical="center" wrapText="1"/>
    </xf>
    <xf numFmtId="0" fontId="11" fillId="3" borderId="57" xfId="23" applyFont="1" applyFill="1" applyBorder="1" applyAlignment="1">
      <alignment horizontal="left" vertical="center"/>
    </xf>
    <xf numFmtId="164" fontId="12" fillId="4" borderId="0" xfId="47" applyNumberFormat="1" applyFill="1" applyAlignment="1">
      <alignment horizontal="left" vertical="center"/>
    </xf>
    <xf numFmtId="0" fontId="9" fillId="6" borderId="7" xfId="23" applyFont="1" applyFill="1" applyBorder="1" applyAlignment="1">
      <alignment horizontal="left" vertical="center"/>
    </xf>
    <xf numFmtId="0" fontId="11" fillId="6" borderId="7" xfId="23" applyFont="1" applyFill="1" applyBorder="1" applyAlignment="1">
      <alignment horizontal="left" vertical="center"/>
    </xf>
    <xf numFmtId="164" fontId="10" fillId="4" borderId="0" xfId="47" applyNumberFormat="1" applyFont="1" applyFill="1" applyAlignment="1">
      <alignment horizontal="left" vertical="center"/>
    </xf>
    <xf numFmtId="3" fontId="10" fillId="4" borderId="0" xfId="47" applyNumberFormat="1" applyFont="1" applyFill="1" applyAlignment="1">
      <alignment horizontal="left" vertical="center"/>
    </xf>
    <xf numFmtId="0" fontId="11" fillId="4" borderId="24" xfId="47" applyFont="1" applyFill="1" applyBorder="1" applyAlignment="1">
      <alignment horizontal="left" vertical="center"/>
    </xf>
    <xf numFmtId="0" fontId="11" fillId="4" borderId="0" xfId="47" applyFont="1" applyFill="1" applyAlignment="1">
      <alignment horizontal="left" vertical="center"/>
    </xf>
    <xf numFmtId="0" fontId="10" fillId="6" borderId="32" xfId="47" applyFont="1" applyFill="1" applyBorder="1" applyAlignment="1">
      <alignment horizontal="left" vertical="center" wrapText="1"/>
    </xf>
    <xf numFmtId="0" fontId="10" fillId="6" borderId="10" xfId="47" applyFont="1" applyFill="1" applyBorder="1" applyAlignment="1">
      <alignment horizontal="left" vertical="center" wrapText="1"/>
    </xf>
    <xf numFmtId="164" fontId="11" fillId="4" borderId="0" xfId="47" applyNumberFormat="1" applyFont="1" applyFill="1" applyAlignment="1">
      <alignment horizontal="left" vertical="center"/>
    </xf>
    <xf numFmtId="0" fontId="9" fillId="0" borderId="32" xfId="47" applyFont="1" applyBorder="1" applyAlignment="1">
      <alignment horizontal="left" vertical="center" wrapText="1"/>
    </xf>
    <xf numFmtId="164" fontId="9" fillId="4" borderId="0" xfId="47" applyNumberFormat="1" applyFont="1" applyFill="1" applyAlignment="1">
      <alignment horizontal="left" vertical="center"/>
    </xf>
    <xf numFmtId="0" fontId="12" fillId="0" borderId="0" xfId="47" applyAlignment="1">
      <alignment horizontal="left" vertical="center"/>
    </xf>
    <xf numFmtId="0" fontId="10" fillId="6" borderId="30" xfId="47" applyFont="1" applyFill="1" applyBorder="1" applyAlignment="1">
      <alignment horizontal="left" vertical="center" wrapText="1"/>
    </xf>
    <xf numFmtId="164" fontId="9" fillId="4" borderId="24" xfId="47" applyNumberFormat="1" applyFont="1" applyFill="1" applyBorder="1" applyAlignment="1">
      <alignment horizontal="left" vertical="center"/>
    </xf>
    <xf numFmtId="164" fontId="9" fillId="4" borderId="2" xfId="47" applyNumberFormat="1" applyFont="1" applyFill="1" applyBorder="1" applyAlignment="1">
      <alignment horizontal="left" vertical="center"/>
    </xf>
    <xf numFmtId="0" fontId="10" fillId="4" borderId="3" xfId="47" applyFont="1" applyFill="1" applyBorder="1" applyAlignment="1">
      <alignment horizontal="left" vertical="center"/>
    </xf>
    <xf numFmtId="0" fontId="10" fillId="5" borderId="49" xfId="47" applyFont="1" applyFill="1" applyBorder="1" applyAlignment="1">
      <alignment horizontal="left" vertical="center"/>
    </xf>
    <xf numFmtId="0" fontId="12" fillId="5" borderId="50" xfId="47" applyFill="1" applyBorder="1" applyAlignment="1">
      <alignment horizontal="left" vertical="center"/>
    </xf>
    <xf numFmtId="3" fontId="12" fillId="5" borderId="50" xfId="47" applyNumberFormat="1" applyFill="1" applyBorder="1" applyAlignment="1">
      <alignment horizontal="left" vertical="center"/>
    </xf>
    <xf numFmtId="0" fontId="10" fillId="6" borderId="29" xfId="47" applyFont="1" applyFill="1" applyBorder="1" applyAlignment="1">
      <alignment horizontal="left" vertical="center" wrapText="1"/>
    </xf>
    <xf numFmtId="0" fontId="28" fillId="6" borderId="36" xfId="47" applyFont="1" applyFill="1" applyBorder="1" applyAlignment="1">
      <alignment horizontal="left" vertical="center"/>
    </xf>
    <xf numFmtId="0" fontId="12" fillId="4" borderId="43" xfId="1" applyFill="1" applyBorder="1" applyAlignment="1">
      <alignment horizontal="left" vertical="center" wrapText="1"/>
    </xf>
    <xf numFmtId="0" fontId="12" fillId="4" borderId="39" xfId="1" applyFill="1" applyBorder="1" applyAlignment="1">
      <alignment horizontal="left" vertical="center" wrapText="1"/>
    </xf>
    <xf numFmtId="0" fontId="9" fillId="4" borderId="27" xfId="47" applyFont="1" applyFill="1" applyBorder="1" applyAlignment="1">
      <alignment horizontal="left" vertical="center"/>
    </xf>
    <xf numFmtId="0" fontId="11" fillId="0" borderId="10" xfId="47" applyFont="1" applyBorder="1" applyAlignment="1">
      <alignment horizontal="left" vertical="center"/>
    </xf>
    <xf numFmtId="0" fontId="9" fillId="4" borderId="3" xfId="47" applyFont="1" applyFill="1" applyBorder="1" applyAlignment="1">
      <alignment horizontal="left" vertical="center"/>
    </xf>
    <xf numFmtId="0" fontId="11" fillId="0" borderId="26" xfId="47" applyFont="1" applyBorder="1" applyAlignment="1">
      <alignment horizontal="left" vertical="center"/>
    </xf>
    <xf numFmtId="0" fontId="28" fillId="6" borderId="32" xfId="47" applyFont="1" applyFill="1" applyBorder="1" applyAlignment="1">
      <alignment horizontal="left" vertical="center"/>
    </xf>
    <xf numFmtId="0" fontId="29" fillId="6" borderId="10" xfId="47" applyFont="1" applyFill="1" applyBorder="1" applyAlignment="1">
      <alignment horizontal="left" vertical="center"/>
    </xf>
    <xf numFmtId="164" fontId="9" fillId="4" borderId="39" xfId="47" applyNumberFormat="1" applyFont="1" applyFill="1" applyBorder="1" applyAlignment="1">
      <alignment horizontal="left" vertical="center"/>
    </xf>
    <xf numFmtId="164" fontId="9" fillId="4" borderId="43" xfId="47" applyNumberFormat="1" applyFont="1" applyFill="1" applyBorder="1" applyAlignment="1">
      <alignment horizontal="left" vertical="center"/>
    </xf>
    <xf numFmtId="0" fontId="30" fillId="6" borderId="3" xfId="47" applyFont="1" applyFill="1" applyBorder="1" applyAlignment="1">
      <alignment horizontal="left" vertical="center"/>
    </xf>
    <xf numFmtId="0" fontId="31" fillId="6" borderId="0" xfId="47" applyFont="1" applyFill="1" applyAlignment="1">
      <alignment horizontal="left" vertical="center"/>
    </xf>
    <xf numFmtId="0" fontId="9" fillId="6" borderId="29" xfId="47" applyFont="1" applyFill="1" applyBorder="1" applyAlignment="1">
      <alignment horizontal="left" vertical="center" wrapText="1"/>
    </xf>
    <xf numFmtId="0" fontId="9" fillId="0" borderId="29" xfId="47" applyFont="1" applyBorder="1" applyAlignment="1">
      <alignment horizontal="left" vertical="center" wrapText="1"/>
    </xf>
    <xf numFmtId="0" fontId="11" fillId="0" borderId="21" xfId="47" applyFont="1" applyBorder="1" applyAlignment="1">
      <alignment horizontal="left" vertical="center" wrapText="1"/>
    </xf>
    <xf numFmtId="0" fontId="9" fillId="6" borderId="56" xfId="47" applyFont="1" applyFill="1" applyBorder="1" applyAlignment="1">
      <alignment horizontal="left" vertical="center" wrapText="1"/>
    </xf>
    <xf numFmtId="0" fontId="10" fillId="6" borderId="54" xfId="47" applyFont="1" applyFill="1" applyBorder="1" applyAlignment="1">
      <alignment horizontal="left" vertical="center" wrapText="1"/>
    </xf>
    <xf numFmtId="0" fontId="10" fillId="6" borderId="34" xfId="47" applyFont="1" applyFill="1" applyBorder="1" applyAlignment="1">
      <alignment horizontal="left" vertical="center"/>
    </xf>
    <xf numFmtId="0" fontId="10" fillId="4" borderId="3" xfId="47" applyFont="1" applyFill="1" applyBorder="1" applyAlignment="1">
      <alignment horizontal="left" vertical="center" wrapText="1"/>
    </xf>
    <xf numFmtId="0" fontId="10" fillId="4" borderId="0" xfId="47" applyFont="1" applyFill="1" applyAlignment="1">
      <alignment horizontal="left" vertical="center" wrapText="1"/>
    </xf>
    <xf numFmtId="165" fontId="10" fillId="4" borderId="0" xfId="47" applyNumberFormat="1" applyFont="1" applyFill="1" applyAlignment="1">
      <alignment horizontal="left" vertical="center"/>
    </xf>
    <xf numFmtId="3" fontId="12" fillId="4" borderId="0" xfId="23" applyNumberFormat="1" applyFill="1" applyAlignment="1">
      <alignment horizontal="left" vertical="center"/>
    </xf>
    <xf numFmtId="3" fontId="9" fillId="4" borderId="24" xfId="47" applyNumberFormat="1" applyFont="1" applyFill="1" applyBorder="1" applyAlignment="1">
      <alignment horizontal="left" vertical="center"/>
    </xf>
    <xf numFmtId="3" fontId="9" fillId="4" borderId="0" xfId="47" applyNumberFormat="1" applyFont="1" applyFill="1" applyAlignment="1">
      <alignment horizontal="left" vertical="center"/>
    </xf>
    <xf numFmtId="0" fontId="12" fillId="4" borderId="0" xfId="23" applyFill="1" applyAlignment="1">
      <alignment horizontal="left" vertical="center"/>
    </xf>
    <xf numFmtId="1" fontId="11" fillId="4" borderId="0" xfId="47" applyNumberFormat="1" applyFont="1" applyFill="1" applyAlignment="1">
      <alignment horizontal="left" vertical="center"/>
    </xf>
    <xf numFmtId="3" fontId="11" fillId="4" borderId="0" xfId="47" applyNumberFormat="1" applyFont="1" applyFill="1" applyAlignment="1">
      <alignment horizontal="left" vertical="center"/>
    </xf>
    <xf numFmtId="0" fontId="12" fillId="6" borderId="8" xfId="47" applyFill="1" applyBorder="1" applyAlignment="1">
      <alignment horizontal="left" vertical="center" wrapText="1"/>
    </xf>
    <xf numFmtId="0" fontId="11" fillId="6" borderId="6" xfId="47" applyFont="1" applyFill="1" applyBorder="1" applyAlignment="1">
      <alignment horizontal="left" vertical="center" wrapText="1"/>
    </xf>
    <xf numFmtId="3" fontId="0" fillId="0" borderId="3" xfId="0" applyNumberFormat="1" applyBorder="1" applyAlignment="1">
      <alignment horizontal="left" vertical="center"/>
    </xf>
    <xf numFmtId="0" fontId="12" fillId="6" borderId="6" xfId="47" applyFill="1" applyBorder="1" applyAlignment="1">
      <alignment horizontal="left" vertical="center" wrapText="1"/>
    </xf>
    <xf numFmtId="0" fontId="12" fillId="4" borderId="8" xfId="47" applyFill="1" applyBorder="1" applyAlignment="1">
      <alignment horizontal="left" vertical="center" wrapText="1"/>
    </xf>
    <xf numFmtId="0" fontId="11" fillId="4" borderId="24" xfId="47" applyFont="1" applyFill="1" applyBorder="1" applyAlignment="1">
      <alignment horizontal="left" vertical="center" wrapText="1"/>
    </xf>
    <xf numFmtId="0" fontId="11" fillId="4" borderId="41" xfId="47" applyFont="1" applyFill="1" applyBorder="1" applyAlignment="1">
      <alignment horizontal="left" vertical="center" wrapText="1"/>
    </xf>
    <xf numFmtId="164" fontId="11" fillId="4" borderId="8" xfId="47" applyNumberFormat="1" applyFont="1" applyFill="1" applyBorder="1" applyAlignment="1">
      <alignment horizontal="left" vertical="center"/>
    </xf>
    <xf numFmtId="3" fontId="0" fillId="4" borderId="3" xfId="0" applyNumberFormat="1" applyFill="1" applyBorder="1" applyAlignment="1">
      <alignment horizontal="left" vertical="center"/>
    </xf>
    <xf numFmtId="165" fontId="17" fillId="4" borderId="1" xfId="47" applyNumberFormat="1" applyFont="1" applyFill="1" applyBorder="1" applyAlignment="1">
      <alignment horizontal="left" vertical="center"/>
    </xf>
    <xf numFmtId="165" fontId="17" fillId="4" borderId="41" xfId="47" applyNumberFormat="1" applyFont="1" applyFill="1" applyBorder="1" applyAlignment="1">
      <alignment horizontal="left" vertical="center"/>
    </xf>
    <xf numFmtId="3" fontId="17" fillId="4" borderId="25" xfId="1" applyNumberFormat="1" applyFont="1" applyFill="1" applyBorder="1" applyAlignment="1" applyProtection="1">
      <alignment horizontal="left" vertical="center"/>
      <protection locked="0"/>
    </xf>
    <xf numFmtId="3" fontId="17" fillId="4" borderId="10" xfId="1" applyNumberFormat="1" applyFont="1" applyFill="1" applyBorder="1" applyAlignment="1" applyProtection="1">
      <alignment horizontal="left" vertical="center"/>
      <protection locked="0"/>
    </xf>
    <xf numFmtId="164" fontId="9" fillId="4" borderId="13" xfId="47" applyNumberFormat="1" applyFont="1" applyFill="1" applyBorder="1" applyAlignment="1">
      <alignment horizontal="left" vertical="center"/>
    </xf>
    <xf numFmtId="0" fontId="11" fillId="4" borderId="6" xfId="47" applyFont="1" applyFill="1" applyBorder="1" applyAlignment="1">
      <alignment horizontal="left" vertical="center" wrapText="1"/>
    </xf>
    <xf numFmtId="0" fontId="11" fillId="4" borderId="46" xfId="47" applyFont="1" applyFill="1" applyBorder="1" applyAlignment="1">
      <alignment horizontal="left" vertical="center" wrapText="1"/>
    </xf>
    <xf numFmtId="0" fontId="11" fillId="4" borderId="7" xfId="47" applyFont="1" applyFill="1" applyBorder="1" applyAlignment="1">
      <alignment horizontal="left" vertical="center" wrapText="1"/>
    </xf>
    <xf numFmtId="165" fontId="17" fillId="4" borderId="3" xfId="47" applyNumberFormat="1" applyFont="1" applyFill="1" applyBorder="1" applyAlignment="1">
      <alignment horizontal="left" vertical="center"/>
    </xf>
    <xf numFmtId="165" fontId="17" fillId="4" borderId="42" xfId="47" applyNumberFormat="1" applyFont="1" applyFill="1" applyBorder="1" applyAlignment="1">
      <alignment horizontal="left" vertical="center"/>
    </xf>
    <xf numFmtId="0" fontId="12" fillId="4" borderId="6" xfId="47" applyFill="1" applyBorder="1" applyAlignment="1">
      <alignment horizontal="left" vertical="center" wrapText="1"/>
    </xf>
    <xf numFmtId="165" fontId="17" fillId="4" borderId="4" xfId="47" applyNumberFormat="1" applyFont="1" applyFill="1" applyBorder="1" applyAlignment="1">
      <alignment horizontal="left" vertical="center"/>
    </xf>
    <xf numFmtId="165" fontId="17" fillId="4" borderId="53" xfId="47" applyNumberFormat="1" applyFont="1" applyFill="1" applyBorder="1" applyAlignment="1">
      <alignment horizontal="left" vertical="center"/>
    </xf>
    <xf numFmtId="0" fontId="11" fillId="4" borderId="8" xfId="47" applyFont="1" applyFill="1" applyBorder="1" applyAlignment="1">
      <alignment horizontal="left" vertical="center" wrapText="1"/>
    </xf>
    <xf numFmtId="0" fontId="11" fillId="4" borderId="4" xfId="47" applyFont="1" applyFill="1" applyBorder="1" applyAlignment="1">
      <alignment horizontal="left" vertical="center" wrapText="1"/>
    </xf>
    <xf numFmtId="0" fontId="11" fillId="4" borderId="53" xfId="47" applyFont="1" applyFill="1" applyBorder="1" applyAlignment="1">
      <alignment horizontal="left" vertical="center" wrapText="1"/>
    </xf>
    <xf numFmtId="0" fontId="9" fillId="4" borderId="8" xfId="47" applyFont="1" applyFill="1" applyBorder="1" applyAlignment="1">
      <alignment horizontal="left" vertical="center"/>
    </xf>
    <xf numFmtId="0" fontId="9" fillId="4" borderId="6" xfId="47" applyFont="1" applyFill="1" applyBorder="1" applyAlignment="1">
      <alignment horizontal="left" vertical="center"/>
    </xf>
    <xf numFmtId="0" fontId="10" fillId="4" borderId="12" xfId="47" applyFont="1" applyFill="1" applyBorder="1" applyAlignment="1">
      <alignment horizontal="left" vertical="center"/>
    </xf>
    <xf numFmtId="164" fontId="9" fillId="4" borderId="12" xfId="47" applyNumberFormat="1" applyFont="1" applyFill="1" applyBorder="1" applyAlignment="1">
      <alignment horizontal="left" vertical="center"/>
    </xf>
    <xf numFmtId="3" fontId="12" fillId="0" borderId="0" xfId="47" applyNumberFormat="1" applyAlignment="1">
      <alignment horizontal="left" vertical="center"/>
    </xf>
    <xf numFmtId="0" fontId="9" fillId="6" borderId="16" xfId="47" applyFont="1" applyFill="1" applyBorder="1" applyAlignment="1">
      <alignment horizontal="left" vertical="center" wrapText="1"/>
    </xf>
    <xf numFmtId="0" fontId="11" fillId="0" borderId="64" xfId="47" applyFont="1" applyBorder="1" applyAlignment="1">
      <alignment horizontal="left" vertical="center" wrapText="1"/>
    </xf>
    <xf numFmtId="0" fontId="11" fillId="0" borderId="70" xfId="47" applyFont="1" applyBorder="1" applyAlignment="1">
      <alignment horizontal="left" vertical="center" wrapText="1"/>
    </xf>
    <xf numFmtId="10" fontId="11" fillId="4" borderId="39" xfId="47" applyNumberFormat="1" applyFont="1" applyFill="1" applyBorder="1" applyAlignment="1">
      <alignment horizontal="left" vertical="center"/>
    </xf>
    <xf numFmtId="10" fontId="11" fillId="4" borderId="43" xfId="47" applyNumberFormat="1" applyFont="1" applyFill="1" applyBorder="1" applyAlignment="1">
      <alignment horizontal="left" vertical="center"/>
    </xf>
    <xf numFmtId="164" fontId="11" fillId="3" borderId="39" xfId="23" applyNumberFormat="1" applyFont="1" applyFill="1" applyBorder="1" applyAlignment="1">
      <alignment horizontal="center" vertical="center"/>
    </xf>
    <xf numFmtId="3" fontId="9" fillId="6" borderId="8" xfId="23" applyNumberFormat="1" applyFont="1" applyFill="1" applyBorder="1" applyAlignment="1">
      <alignment horizontal="center" vertical="center" wrapText="1"/>
    </xf>
    <xf numFmtId="0" fontId="9" fillId="6" borderId="48" xfId="23" applyFont="1" applyFill="1" applyBorder="1" applyAlignment="1">
      <alignment horizontal="center" vertical="center" wrapText="1"/>
    </xf>
    <xf numFmtId="165" fontId="10" fillId="0" borderId="14" xfId="47" applyNumberFormat="1" applyFont="1" applyBorder="1" applyAlignment="1">
      <alignment horizontal="center" vertical="center" wrapText="1"/>
    </xf>
    <xf numFmtId="3" fontId="10" fillId="4" borderId="39" xfId="47" applyNumberFormat="1" applyFont="1" applyFill="1" applyBorder="1" applyAlignment="1">
      <alignment horizontal="center" vertical="center" wrapText="1"/>
    </xf>
    <xf numFmtId="165" fontId="11" fillId="6" borderId="10" xfId="47" applyNumberFormat="1" applyFont="1" applyFill="1" applyBorder="1" applyAlignment="1">
      <alignment horizontal="center" vertical="center" wrapText="1"/>
    </xf>
    <xf numFmtId="0" fontId="10" fillId="0" borderId="10" xfId="47" applyFont="1" applyBorder="1" applyAlignment="1">
      <alignment horizontal="center" vertical="center" wrapText="1"/>
    </xf>
    <xf numFmtId="3" fontId="11" fillId="0" borderId="25" xfId="47" applyNumberFormat="1" applyFont="1" applyBorder="1" applyAlignment="1">
      <alignment horizontal="center" vertical="center"/>
    </xf>
    <xf numFmtId="10" fontId="11" fillId="4" borderId="39" xfId="47" applyNumberFormat="1" applyFont="1" applyFill="1" applyBorder="1" applyAlignment="1">
      <alignment horizontal="center" vertical="center"/>
    </xf>
    <xf numFmtId="164" fontId="11" fillId="4" borderId="43" xfId="47" applyNumberFormat="1" applyFont="1" applyFill="1" applyBorder="1" applyAlignment="1">
      <alignment horizontal="center" vertical="center"/>
    </xf>
    <xf numFmtId="165" fontId="11" fillId="6" borderId="10" xfId="47" applyNumberFormat="1" applyFont="1" applyFill="1" applyBorder="1" applyAlignment="1">
      <alignment horizontal="center" vertical="center"/>
    </xf>
    <xf numFmtId="164" fontId="11" fillId="6" borderId="10" xfId="47" applyNumberFormat="1" applyFont="1" applyFill="1" applyBorder="1" applyAlignment="1">
      <alignment horizontal="center" vertical="center"/>
    </xf>
    <xf numFmtId="3" fontId="11" fillId="4" borderId="25" xfId="47" applyNumberFormat="1" applyFont="1" applyFill="1" applyBorder="1" applyAlignment="1">
      <alignment horizontal="center" vertical="center"/>
    </xf>
    <xf numFmtId="164" fontId="11" fillId="0" borderId="43" xfId="47" applyNumberFormat="1" applyFont="1" applyBorder="1" applyAlignment="1">
      <alignment horizontal="center" vertical="center"/>
    </xf>
    <xf numFmtId="0" fontId="10" fillId="0" borderId="26" xfId="47" applyFont="1" applyBorder="1" applyAlignment="1">
      <alignment horizontal="center" vertical="center" wrapText="1"/>
    </xf>
    <xf numFmtId="164" fontId="11" fillId="6" borderId="26" xfId="47" applyNumberFormat="1" applyFont="1" applyFill="1" applyBorder="1" applyAlignment="1">
      <alignment horizontal="center" vertical="center"/>
    </xf>
    <xf numFmtId="3" fontId="11" fillId="4" borderId="22" xfId="47" applyNumberFormat="1" applyFont="1" applyFill="1" applyBorder="1" applyAlignment="1">
      <alignment horizontal="center" vertical="center"/>
    </xf>
    <xf numFmtId="164" fontId="11" fillId="0" borderId="31" xfId="47" applyNumberFormat="1" applyFont="1" applyBorder="1" applyAlignment="1">
      <alignment horizontal="center" vertical="center"/>
    </xf>
    <xf numFmtId="165" fontId="29" fillId="6" borderId="10" xfId="47" applyNumberFormat="1" applyFont="1" applyFill="1" applyBorder="1" applyAlignment="1">
      <alignment horizontal="center" vertical="center"/>
    </xf>
    <xf numFmtId="165" fontId="9" fillId="6" borderId="10" xfId="47" applyNumberFormat="1" applyFont="1" applyFill="1" applyBorder="1" applyAlignment="1">
      <alignment horizontal="center" vertical="center"/>
    </xf>
    <xf numFmtId="3" fontId="9" fillId="6" borderId="10" xfId="47" applyNumberFormat="1" applyFont="1" applyFill="1" applyBorder="1" applyAlignment="1">
      <alignment horizontal="center" vertical="center"/>
    </xf>
    <xf numFmtId="164" fontId="9" fillId="6" borderId="28" xfId="47" applyNumberFormat="1" applyFont="1" applyFill="1" applyBorder="1" applyAlignment="1">
      <alignment horizontal="center" vertical="center"/>
    </xf>
    <xf numFmtId="164" fontId="9" fillId="6" borderId="43" xfId="47" applyNumberFormat="1" applyFont="1" applyFill="1" applyBorder="1" applyAlignment="1">
      <alignment horizontal="center" vertical="center"/>
    </xf>
    <xf numFmtId="164" fontId="9" fillId="4" borderId="13" xfId="47" applyNumberFormat="1" applyFont="1" applyFill="1" applyBorder="1" applyAlignment="1">
      <alignment horizontal="center" vertical="center"/>
    </xf>
    <xf numFmtId="3" fontId="9" fillId="6" borderId="25" xfId="47" applyNumberFormat="1" applyFont="1" applyFill="1" applyBorder="1" applyAlignment="1">
      <alignment horizontal="center" vertical="center"/>
    </xf>
    <xf numFmtId="3" fontId="10" fillId="0" borderId="47" xfId="47" applyNumberFormat="1" applyFont="1" applyBorder="1" applyAlignment="1">
      <alignment horizontal="center" vertical="center"/>
    </xf>
    <xf numFmtId="164" fontId="12" fillId="6" borderId="10" xfId="47" applyNumberFormat="1" applyFill="1" applyBorder="1" applyAlignment="1">
      <alignment horizontal="center" vertical="center" wrapText="1"/>
    </xf>
    <xf numFmtId="1" fontId="12" fillId="0" borderId="10" xfId="47" applyNumberFormat="1" applyBorder="1" applyAlignment="1">
      <alignment horizontal="center" vertical="center"/>
    </xf>
    <xf numFmtId="3" fontId="12" fillId="0" borderId="16" xfId="47" applyNumberFormat="1" applyBorder="1" applyAlignment="1">
      <alignment horizontal="center" vertical="center"/>
    </xf>
    <xf numFmtId="164" fontId="11" fillId="0" borderId="16" xfId="47" applyNumberFormat="1" applyFont="1" applyBorder="1" applyAlignment="1">
      <alignment horizontal="center" vertical="center"/>
    </xf>
    <xf numFmtId="165" fontId="31" fillId="6" borderId="0" xfId="47" applyNumberFormat="1" applyFont="1" applyFill="1" applyAlignment="1">
      <alignment horizontal="center" vertical="center"/>
    </xf>
    <xf numFmtId="165" fontId="9" fillId="6" borderId="0" xfId="47" applyNumberFormat="1" applyFont="1" applyFill="1" applyAlignment="1">
      <alignment horizontal="center" vertical="center"/>
    </xf>
    <xf numFmtId="3" fontId="42" fillId="6" borderId="10" xfId="47" applyNumberFormat="1" applyFont="1" applyFill="1" applyBorder="1" applyAlignment="1">
      <alignment horizontal="center" vertical="center"/>
    </xf>
    <xf numFmtId="3" fontId="42" fillId="6" borderId="16" xfId="47" applyNumberFormat="1" applyFont="1" applyFill="1" applyBorder="1" applyAlignment="1">
      <alignment horizontal="center" vertical="center"/>
    </xf>
    <xf numFmtId="0" fontId="10" fillId="6" borderId="26" xfId="47" applyFont="1" applyFill="1" applyBorder="1" applyAlignment="1">
      <alignment horizontal="center" vertical="center" wrapText="1"/>
    </xf>
    <xf numFmtId="164" fontId="10" fillId="6" borderId="21" xfId="47" applyNumberFormat="1" applyFont="1" applyFill="1" applyBorder="1" applyAlignment="1">
      <alignment horizontal="center" vertical="center"/>
    </xf>
    <xf numFmtId="164" fontId="10" fillId="6" borderId="39" xfId="47" applyNumberFormat="1" applyFont="1" applyFill="1" applyBorder="1" applyAlignment="1">
      <alignment horizontal="center" vertical="center"/>
    </xf>
    <xf numFmtId="3" fontId="10" fillId="6" borderId="25" xfId="47" applyNumberFormat="1" applyFont="1" applyFill="1" applyBorder="1" applyAlignment="1">
      <alignment horizontal="center" vertical="center" wrapText="1"/>
    </xf>
    <xf numFmtId="0" fontId="10" fillId="6" borderId="10" xfId="47" applyFont="1" applyFill="1" applyBorder="1" applyAlignment="1">
      <alignment horizontal="center" vertical="center" wrapText="1"/>
    </xf>
    <xf numFmtId="10" fontId="11" fillId="6" borderId="10" xfId="47" applyNumberFormat="1" applyFont="1" applyFill="1" applyBorder="1" applyAlignment="1">
      <alignment horizontal="center" vertical="center"/>
    </xf>
    <xf numFmtId="0" fontId="10" fillId="6" borderId="26" xfId="47" applyFont="1" applyFill="1" applyBorder="1" applyAlignment="1">
      <alignment horizontal="center" vertical="center"/>
    </xf>
    <xf numFmtId="3" fontId="10" fillId="6" borderId="38" xfId="47" applyNumberFormat="1" applyFont="1" applyFill="1" applyBorder="1" applyAlignment="1">
      <alignment horizontal="center" vertical="center"/>
    </xf>
    <xf numFmtId="3" fontId="10" fillId="6" borderId="31" xfId="47" applyNumberFormat="1" applyFont="1" applyFill="1" applyBorder="1" applyAlignment="1">
      <alignment horizontal="center" vertical="center"/>
    </xf>
    <xf numFmtId="1" fontId="11" fillId="0" borderId="25" xfId="47" applyNumberFormat="1" applyFont="1" applyBorder="1" applyAlignment="1">
      <alignment horizontal="center" vertical="center"/>
    </xf>
    <xf numFmtId="164" fontId="11" fillId="4" borderId="39" xfId="47" applyNumberFormat="1" applyFont="1" applyFill="1" applyBorder="1" applyAlignment="1">
      <alignment horizontal="center" vertical="center"/>
    </xf>
    <xf numFmtId="164" fontId="11" fillId="4" borderId="28" xfId="47" applyNumberFormat="1" applyFont="1" applyFill="1" applyBorder="1" applyAlignment="1">
      <alignment horizontal="center" vertical="center"/>
    </xf>
    <xf numFmtId="3" fontId="10" fillId="4" borderId="38" xfId="47" applyNumberFormat="1" applyFont="1" applyFill="1" applyBorder="1" applyAlignment="1">
      <alignment horizontal="center" vertical="center"/>
    </xf>
    <xf numFmtId="3" fontId="10" fillId="4" borderId="31" xfId="47" applyNumberFormat="1" applyFont="1" applyFill="1" applyBorder="1" applyAlignment="1">
      <alignment horizontal="center" vertical="center"/>
    </xf>
    <xf numFmtId="0" fontId="11" fillId="0" borderId="25" xfId="47" applyFont="1" applyBorder="1" applyAlignment="1">
      <alignment horizontal="center" vertical="center"/>
    </xf>
    <xf numFmtId="165" fontId="11" fillId="4" borderId="39" xfId="47" applyNumberFormat="1" applyFont="1" applyFill="1" applyBorder="1" applyAlignment="1">
      <alignment horizontal="center" vertical="center"/>
    </xf>
    <xf numFmtId="165" fontId="11" fillId="4" borderId="28" xfId="47" applyNumberFormat="1" applyFont="1" applyFill="1" applyBorder="1" applyAlignment="1">
      <alignment horizontal="center" vertical="center"/>
    </xf>
    <xf numFmtId="3" fontId="10" fillId="6" borderId="38" xfId="47" applyNumberFormat="1" applyFont="1" applyFill="1" applyBorder="1" applyAlignment="1">
      <alignment horizontal="center" vertical="center" wrapText="1"/>
    </xf>
    <xf numFmtId="3" fontId="10" fillId="4" borderId="37" xfId="47" applyNumberFormat="1" applyFont="1" applyFill="1" applyBorder="1" applyAlignment="1">
      <alignment horizontal="center" vertical="center"/>
    </xf>
    <xf numFmtId="3" fontId="10" fillId="6" borderId="58" xfId="47" applyNumberFormat="1" applyFont="1" applyFill="1" applyBorder="1" applyAlignment="1">
      <alignment horizontal="center" vertical="center" wrapText="1"/>
    </xf>
    <xf numFmtId="0" fontId="10" fillId="6" borderId="34" xfId="47" applyFont="1" applyFill="1" applyBorder="1" applyAlignment="1">
      <alignment horizontal="center" vertical="center"/>
    </xf>
    <xf numFmtId="0" fontId="9" fillId="6" borderId="7" xfId="47" applyFont="1" applyFill="1" applyBorder="1" applyAlignment="1">
      <alignment horizontal="center" vertical="center"/>
    </xf>
    <xf numFmtId="164" fontId="10" fillId="6" borderId="35" xfId="47" applyNumberFormat="1" applyFont="1" applyFill="1" applyBorder="1" applyAlignment="1">
      <alignment horizontal="center" vertical="center"/>
    </xf>
    <xf numFmtId="10" fontId="9" fillId="4" borderId="8" xfId="47" applyNumberFormat="1" applyFont="1" applyFill="1" applyBorder="1" applyAlignment="1">
      <alignment horizontal="center" vertical="center"/>
    </xf>
    <xf numFmtId="0" fontId="11" fillId="6" borderId="24" xfId="47" applyFont="1" applyFill="1" applyBorder="1" applyAlignment="1">
      <alignment horizontal="center" vertical="center" wrapText="1"/>
    </xf>
    <xf numFmtId="0" fontId="11" fillId="6" borderId="41" xfId="47" applyFont="1" applyFill="1" applyBorder="1" applyAlignment="1">
      <alignment horizontal="center" vertical="center" wrapText="1"/>
    </xf>
    <xf numFmtId="0" fontId="11" fillId="6" borderId="6" xfId="47" applyFont="1" applyFill="1" applyBorder="1" applyAlignment="1">
      <alignment horizontal="center" vertical="center" wrapText="1"/>
    </xf>
    <xf numFmtId="0" fontId="11" fillId="6" borderId="46" xfId="47" applyFont="1" applyFill="1" applyBorder="1" applyAlignment="1">
      <alignment horizontal="center" vertical="center" wrapText="1"/>
    </xf>
    <xf numFmtId="164" fontId="11" fillId="6" borderId="8" xfId="47" applyNumberFormat="1" applyFont="1" applyFill="1" applyBorder="1" applyAlignment="1">
      <alignment horizontal="center" vertical="center"/>
    </xf>
    <xf numFmtId="165" fontId="17" fillId="6" borderId="33" xfId="47" applyNumberFormat="1" applyFont="1" applyFill="1" applyBorder="1" applyAlignment="1">
      <alignment horizontal="center" vertical="center"/>
    </xf>
    <xf numFmtId="165" fontId="17" fillId="6" borderId="46" xfId="47" applyNumberFormat="1" applyFont="1" applyFill="1" applyBorder="1" applyAlignment="1">
      <alignment horizontal="center" vertical="center"/>
    </xf>
    <xf numFmtId="164" fontId="9" fillId="0" borderId="13" xfId="47" applyNumberFormat="1" applyFont="1" applyBorder="1" applyAlignment="1">
      <alignment horizontal="center" vertical="center"/>
    </xf>
    <xf numFmtId="0" fontId="11" fillId="6" borderId="7" xfId="47" applyFont="1" applyFill="1" applyBorder="1" applyAlignment="1">
      <alignment horizontal="center" vertical="center" wrapText="1"/>
    </xf>
    <xf numFmtId="165" fontId="17" fillId="6" borderId="3" xfId="47" applyNumberFormat="1" applyFont="1" applyFill="1" applyBorder="1" applyAlignment="1">
      <alignment horizontal="center" vertical="center"/>
    </xf>
    <xf numFmtId="165" fontId="17" fillId="6" borderId="42" xfId="47" applyNumberFormat="1" applyFont="1" applyFill="1" applyBorder="1" applyAlignment="1">
      <alignment horizontal="center" vertical="center"/>
    </xf>
    <xf numFmtId="0" fontId="12" fillId="6" borderId="6" xfId="47" applyFill="1" applyBorder="1" applyAlignment="1">
      <alignment horizontal="center" vertical="center" wrapText="1"/>
    </xf>
    <xf numFmtId="0" fontId="12" fillId="6" borderId="46" xfId="47" applyFill="1" applyBorder="1" applyAlignment="1">
      <alignment horizontal="center" vertical="center" wrapText="1"/>
    </xf>
    <xf numFmtId="164" fontId="9" fillId="6" borderId="12" xfId="47" applyNumberFormat="1" applyFont="1" applyFill="1" applyBorder="1" applyAlignment="1">
      <alignment horizontal="center" vertical="center"/>
    </xf>
    <xf numFmtId="0" fontId="9" fillId="4" borderId="0" xfId="23" applyFont="1" applyFill="1" applyAlignment="1">
      <alignment horizontal="center" vertical="center" wrapText="1"/>
    </xf>
    <xf numFmtId="0" fontId="9" fillId="6" borderId="8" xfId="23" applyFont="1" applyFill="1" applyBorder="1" applyAlignment="1">
      <alignment horizontal="center" vertical="center"/>
    </xf>
    <xf numFmtId="0" fontId="9" fillId="4" borderId="0" xfId="23" applyFont="1" applyFill="1" applyAlignment="1">
      <alignment horizontal="center" vertical="center"/>
    </xf>
    <xf numFmtId="0" fontId="11" fillId="3" borderId="9" xfId="23" applyFont="1" applyFill="1" applyBorder="1" applyAlignment="1">
      <alignment horizontal="center" vertical="center"/>
    </xf>
    <xf numFmtId="164" fontId="11" fillId="0" borderId="9" xfId="1" applyNumberFormat="1" applyFont="1" applyBorder="1" applyAlignment="1">
      <alignment horizontal="center" vertical="center"/>
    </xf>
    <xf numFmtId="0" fontId="10" fillId="7" borderId="8" xfId="47" applyFont="1" applyFill="1" applyBorder="1" applyAlignment="1">
      <alignment horizontal="center" vertical="center"/>
    </xf>
    <xf numFmtId="0" fontId="10" fillId="0" borderId="0" xfId="47" applyFont="1" applyAlignment="1">
      <alignment horizontal="center" vertical="center"/>
    </xf>
    <xf numFmtId="0" fontId="12" fillId="4" borderId="0" xfId="0" applyFont="1" applyFill="1" applyAlignment="1">
      <alignment horizontal="left"/>
    </xf>
    <xf numFmtId="3" fontId="12" fillId="4" borderId="39" xfId="47" applyNumberFormat="1" applyFill="1" applyBorder="1" applyAlignment="1">
      <alignment horizontal="center" vertical="center"/>
    </xf>
    <xf numFmtId="3" fontId="12" fillId="4" borderId="28" xfId="47" applyNumberFormat="1" applyFill="1" applyBorder="1" applyAlignment="1">
      <alignment horizontal="center" vertical="center"/>
    </xf>
    <xf numFmtId="165" fontId="8" fillId="0" borderId="10" xfId="132" applyNumberFormat="1" applyFont="1" applyBorder="1" applyAlignment="1">
      <alignment horizontal="center" vertical="center"/>
    </xf>
    <xf numFmtId="164" fontId="12" fillId="4" borderId="0" xfId="0" applyNumberFormat="1" applyFont="1" applyFill="1" applyAlignment="1">
      <alignment horizontal="left"/>
    </xf>
    <xf numFmtId="164" fontId="47" fillId="6" borderId="7" xfId="47" applyNumberFormat="1" applyFont="1" applyFill="1" applyBorder="1" applyAlignment="1">
      <alignment horizontal="center" vertical="center"/>
    </xf>
    <xf numFmtId="164" fontId="47" fillId="6" borderId="8" xfId="47" applyNumberFormat="1" applyFont="1" applyFill="1" applyBorder="1" applyAlignment="1">
      <alignment horizontal="center" vertical="center"/>
    </xf>
    <xf numFmtId="0" fontId="0" fillId="4" borderId="0" xfId="0" applyFill="1"/>
    <xf numFmtId="164" fontId="9" fillId="4" borderId="55" xfId="47" applyNumberFormat="1" applyFont="1" applyFill="1" applyBorder="1" applyAlignment="1">
      <alignment horizontal="left" vertical="center"/>
    </xf>
    <xf numFmtId="0" fontId="9" fillId="4" borderId="0" xfId="47" applyFont="1" applyFill="1" applyAlignment="1">
      <alignment vertical="center"/>
    </xf>
    <xf numFmtId="0" fontId="9" fillId="6" borderId="6" xfId="47" applyFont="1" applyFill="1" applyBorder="1" applyAlignment="1">
      <alignment vertical="center"/>
    </xf>
    <xf numFmtId="0" fontId="45" fillId="0" borderId="0" xfId="133" applyBorder="1" applyAlignment="1">
      <alignment horizontal="left" vertical="center" wrapText="1"/>
    </xf>
    <xf numFmtId="0" fontId="12" fillId="4" borderId="66" xfId="47" applyFill="1" applyBorder="1" applyAlignment="1">
      <alignment horizontal="center" vertical="center" wrapText="1"/>
    </xf>
    <xf numFmtId="0" fontId="12" fillId="4" borderId="66" xfId="47" applyFill="1" applyBorder="1" applyAlignment="1">
      <alignment horizontal="center" vertical="center"/>
    </xf>
    <xf numFmtId="164" fontId="44" fillId="4" borderId="66" xfId="47" applyNumberFormat="1" applyFont="1" applyFill="1" applyBorder="1" applyAlignment="1">
      <alignment horizontal="center" vertical="center"/>
    </xf>
    <xf numFmtId="164" fontId="12" fillId="4" borderId="66" xfId="47" applyNumberFormat="1" applyFill="1" applyBorder="1" applyAlignment="1">
      <alignment horizontal="center" vertical="center"/>
    </xf>
    <xf numFmtId="1" fontId="44" fillId="0" borderId="66" xfId="47" applyNumberFormat="1" applyFont="1" applyBorder="1" applyAlignment="1">
      <alignment horizontal="center" vertical="center"/>
    </xf>
    <xf numFmtId="164" fontId="9" fillId="4" borderId="67" xfId="47" applyNumberFormat="1" applyFont="1" applyFill="1" applyBorder="1" applyAlignment="1">
      <alignment horizontal="center" vertical="center"/>
    </xf>
    <xf numFmtId="0" fontId="9" fillId="4" borderId="68" xfId="47" applyFont="1" applyFill="1" applyBorder="1" applyAlignment="1">
      <alignment horizontal="left" vertical="center"/>
    </xf>
    <xf numFmtId="3" fontId="12" fillId="5" borderId="44" xfId="47" applyNumberFormat="1" applyFill="1" applyBorder="1" applyAlignment="1">
      <alignment horizontal="left" vertical="center"/>
    </xf>
    <xf numFmtId="0" fontId="45" fillId="4" borderId="0" xfId="133" applyFill="1" applyBorder="1" applyAlignment="1">
      <alignment horizontal="left" vertical="center" wrapText="1"/>
    </xf>
    <xf numFmtId="0" fontId="12" fillId="0" borderId="10" xfId="37" applyFont="1" applyBorder="1" applyAlignment="1">
      <alignment horizontal="left" vertical="center"/>
    </xf>
    <xf numFmtId="0" fontId="12" fillId="4" borderId="71" xfId="47" applyFill="1" applyBorder="1" applyAlignment="1">
      <alignment horizontal="left" vertical="center"/>
    </xf>
    <xf numFmtId="3" fontId="12" fillId="4" borderId="71" xfId="47" applyNumberFormat="1" applyFill="1" applyBorder="1" applyAlignment="1">
      <alignment horizontal="left" vertical="center"/>
    </xf>
    <xf numFmtId="0" fontId="0" fillId="4" borderId="55" xfId="0" applyFill="1" applyBorder="1"/>
    <xf numFmtId="3" fontId="11" fillId="16" borderId="62" xfId="23" applyNumberFormat="1" applyFont="1" applyFill="1" applyBorder="1" applyAlignment="1">
      <alignment horizontal="center" vertical="center"/>
    </xf>
    <xf numFmtId="165" fontId="11" fillId="6" borderId="10" xfId="23" applyNumberFormat="1" applyFont="1" applyFill="1" applyBorder="1" applyAlignment="1">
      <alignment horizontal="center" vertical="center"/>
    </xf>
    <xf numFmtId="165" fontId="11" fillId="6" borderId="54" xfId="23" applyNumberFormat="1" applyFont="1" applyFill="1" applyBorder="1" applyAlignment="1">
      <alignment horizontal="center" vertical="center"/>
    </xf>
    <xf numFmtId="165" fontId="11" fillId="16" borderId="10" xfId="23" applyNumberFormat="1" applyFont="1" applyFill="1" applyBorder="1" applyAlignment="1">
      <alignment horizontal="center" vertical="center"/>
    </xf>
    <xf numFmtId="165" fontId="11" fillId="16" borderId="26" xfId="23" applyNumberFormat="1" applyFont="1" applyFill="1" applyBorder="1" applyAlignment="1">
      <alignment horizontal="center" vertical="center"/>
    </xf>
    <xf numFmtId="164" fontId="11" fillId="3" borderId="45" xfId="23" applyNumberFormat="1" applyFont="1" applyFill="1" applyBorder="1" applyAlignment="1">
      <alignment horizontal="center" vertical="center"/>
    </xf>
    <xf numFmtId="17" fontId="9" fillId="6" borderId="48" xfId="23" applyNumberFormat="1" applyFont="1" applyFill="1" applyBorder="1" applyAlignment="1">
      <alignment horizontal="center" vertical="center" wrapText="1"/>
    </xf>
    <xf numFmtId="17" fontId="9" fillId="6" borderId="34" xfId="23" applyNumberFormat="1" applyFont="1" applyFill="1" applyBorder="1" applyAlignment="1">
      <alignment horizontal="center" vertical="center" wrapText="1"/>
    </xf>
    <xf numFmtId="0" fontId="0" fillId="0" borderId="25" xfId="0" applyBorder="1" applyAlignment="1">
      <alignment horizontal="center" vertical="center"/>
    </xf>
    <xf numFmtId="0" fontId="12" fillId="4" borderId="13" xfId="47" applyFill="1" applyBorder="1" applyAlignment="1">
      <alignment horizontal="left" vertical="center"/>
    </xf>
    <xf numFmtId="0" fontId="45" fillId="0" borderId="0" xfId="133" applyAlignment="1">
      <alignment horizontal="center" vertical="center" wrapText="1"/>
    </xf>
    <xf numFmtId="0" fontId="0" fillId="4" borderId="0" xfId="0" applyFill="1" applyAlignment="1">
      <alignment vertical="center"/>
    </xf>
    <xf numFmtId="164" fontId="50" fillId="4" borderId="10" xfId="0" applyNumberFormat="1" applyFont="1" applyFill="1" applyBorder="1" applyAlignment="1">
      <alignment horizontal="center" vertical="center"/>
    </xf>
    <xf numFmtId="0" fontId="9" fillId="4" borderId="10" xfId="47" applyFont="1" applyFill="1" applyBorder="1" applyAlignment="1">
      <alignment horizontal="left" vertical="center"/>
    </xf>
    <xf numFmtId="0" fontId="52" fillId="4" borderId="6" xfId="0" applyFont="1" applyFill="1" applyBorder="1" applyAlignment="1">
      <alignment vertical="center"/>
    </xf>
    <xf numFmtId="0" fontId="0" fillId="4" borderId="12" xfId="0" applyFill="1" applyBorder="1" applyAlignment="1">
      <alignment vertical="center"/>
    </xf>
    <xf numFmtId="0" fontId="53" fillId="0" borderId="49" xfId="0" applyFont="1" applyBorder="1" applyAlignment="1">
      <alignment vertical="center"/>
    </xf>
    <xf numFmtId="0" fontId="53" fillId="0" borderId="36" xfId="0" applyFont="1" applyBorder="1" applyAlignment="1">
      <alignment vertical="center"/>
    </xf>
    <xf numFmtId="0" fontId="53" fillId="0" borderId="60" xfId="0" applyFont="1" applyBorder="1" applyAlignment="1">
      <alignment vertical="center"/>
    </xf>
    <xf numFmtId="164" fontId="50" fillId="4" borderId="52" xfId="0" applyNumberFormat="1" applyFont="1" applyFill="1" applyBorder="1" applyAlignment="1">
      <alignment horizontal="center" vertical="center"/>
    </xf>
    <xf numFmtId="164" fontId="50" fillId="4" borderId="39" xfId="0" applyNumberFormat="1" applyFont="1" applyFill="1" applyBorder="1" applyAlignment="1">
      <alignment horizontal="center" vertical="center"/>
    </xf>
    <xf numFmtId="164" fontId="50" fillId="4" borderId="58" xfId="0" applyNumberFormat="1" applyFont="1" applyFill="1" applyBorder="1" applyAlignment="1">
      <alignment horizontal="center" vertical="center"/>
    </xf>
    <xf numFmtId="0" fontId="51" fillId="18" borderId="10" xfId="0" applyFont="1" applyFill="1" applyBorder="1" applyAlignment="1">
      <alignment horizontal="center" vertical="center"/>
    </xf>
    <xf numFmtId="0" fontId="54" fillId="6" borderId="81" xfId="0" applyFont="1" applyFill="1" applyBorder="1" applyAlignment="1">
      <alignment vertical="center"/>
    </xf>
    <xf numFmtId="164" fontId="54" fillId="6" borderId="81" xfId="0" applyNumberFormat="1" applyFont="1" applyFill="1" applyBorder="1" applyAlignment="1">
      <alignment horizontal="center" vertical="center"/>
    </xf>
    <xf numFmtId="0" fontId="54" fillId="4" borderId="8" xfId="0" applyFont="1" applyFill="1" applyBorder="1" applyAlignment="1">
      <alignment vertical="center"/>
    </xf>
    <xf numFmtId="3" fontId="11" fillId="16" borderId="24" xfId="23" applyNumberFormat="1" applyFont="1" applyFill="1" applyBorder="1" applyAlignment="1">
      <alignment vertical="center"/>
    </xf>
    <xf numFmtId="3" fontId="11" fillId="16" borderId="2" xfId="23" applyNumberFormat="1" applyFont="1" applyFill="1" applyBorder="1" applyAlignment="1">
      <alignment vertical="center"/>
    </xf>
    <xf numFmtId="164" fontId="11" fillId="3" borderId="43" xfId="23" applyNumberFormat="1" applyFont="1" applyFill="1" applyBorder="1" applyAlignment="1">
      <alignment horizontal="center" vertical="center"/>
    </xf>
    <xf numFmtId="0" fontId="11" fillId="6" borderId="11" xfId="23" applyFont="1" applyFill="1" applyBorder="1" applyAlignment="1">
      <alignment horizontal="left" vertical="center"/>
    </xf>
    <xf numFmtId="0" fontId="53" fillId="4" borderId="0" xfId="0" applyFont="1" applyFill="1" applyAlignment="1">
      <alignment vertical="center"/>
    </xf>
    <xf numFmtId="0" fontId="12" fillId="0" borderId="10" xfId="1" applyBorder="1" applyAlignment="1">
      <alignment horizontal="center"/>
    </xf>
    <xf numFmtId="0" fontId="12" fillId="18" borderId="10" xfId="1" applyFill="1" applyBorder="1" applyAlignment="1">
      <alignment horizontal="center"/>
    </xf>
    <xf numFmtId="0" fontId="0" fillId="0" borderId="23" xfId="0" applyBorder="1" applyAlignment="1">
      <alignment horizontal="center" vertical="center"/>
    </xf>
    <xf numFmtId="0" fontId="0" fillId="0" borderId="10" xfId="0" applyBorder="1"/>
    <xf numFmtId="0" fontId="0" fillId="0" borderId="25" xfId="0" applyBorder="1"/>
    <xf numFmtId="0" fontId="55" fillId="4" borderId="0" xfId="47" applyFont="1" applyFill="1" applyAlignment="1">
      <alignment horizontal="left" vertical="center"/>
    </xf>
    <xf numFmtId="164" fontId="55" fillId="4" borderId="0" xfId="47" applyNumberFormat="1" applyFont="1" applyFill="1" applyAlignment="1">
      <alignment horizontal="left" vertical="center"/>
    </xf>
    <xf numFmtId="0" fontId="55" fillId="4" borderId="0" xfId="0" applyFont="1" applyFill="1"/>
    <xf numFmtId="3" fontId="12" fillId="4" borderId="55" xfId="47" applyNumberFormat="1" applyFill="1" applyBorder="1" applyAlignment="1">
      <alignment horizontal="left" vertical="center"/>
    </xf>
    <xf numFmtId="0" fontId="11" fillId="4" borderId="55" xfId="23" applyFont="1" applyFill="1" applyBorder="1" applyAlignment="1">
      <alignment horizontal="left" vertical="center"/>
    </xf>
    <xf numFmtId="3" fontId="11" fillId="4" borderId="55" xfId="23" applyNumberFormat="1" applyFont="1" applyFill="1" applyBorder="1" applyAlignment="1">
      <alignment horizontal="left" vertical="center"/>
    </xf>
    <xf numFmtId="165" fontId="11" fillId="6" borderId="63" xfId="23" applyNumberFormat="1" applyFont="1" applyFill="1" applyBorder="1" applyAlignment="1">
      <alignment horizontal="center" vertical="center"/>
    </xf>
    <xf numFmtId="3" fontId="11" fillId="0" borderId="63" xfId="23" applyNumberFormat="1" applyFont="1" applyBorder="1" applyAlignment="1">
      <alignment horizontal="center" vertical="center"/>
    </xf>
    <xf numFmtId="165" fontId="11" fillId="16" borderId="63" xfId="23" applyNumberFormat="1" applyFont="1" applyFill="1" applyBorder="1" applyAlignment="1">
      <alignment horizontal="center" vertical="center"/>
    </xf>
    <xf numFmtId="0" fontId="10" fillId="6" borderId="63" xfId="47" applyFont="1" applyFill="1" applyBorder="1" applyAlignment="1">
      <alignment horizontal="left" vertical="center" wrapText="1"/>
    </xf>
    <xf numFmtId="0" fontId="10" fillId="0" borderId="63" xfId="47" applyFont="1" applyBorder="1" applyAlignment="1">
      <alignment horizontal="center" vertical="center" wrapText="1"/>
    </xf>
    <xf numFmtId="3" fontId="10" fillId="0" borderId="72" xfId="47" applyNumberFormat="1" applyFont="1" applyBorder="1" applyAlignment="1">
      <alignment horizontal="center" vertical="center" wrapText="1"/>
    </xf>
    <xf numFmtId="3" fontId="10" fillId="6" borderId="83" xfId="47" applyNumberFormat="1" applyFont="1" applyFill="1" applyBorder="1" applyAlignment="1">
      <alignment horizontal="center" vertical="center" wrapText="1"/>
    </xf>
    <xf numFmtId="0" fontId="11" fillId="0" borderId="64" xfId="47" applyFont="1" applyBorder="1" applyAlignment="1">
      <alignment horizontal="left" vertical="center"/>
    </xf>
    <xf numFmtId="164" fontId="11" fillId="0" borderId="64" xfId="47" applyNumberFormat="1" applyFont="1" applyBorder="1" applyAlignment="1">
      <alignment horizontal="center" vertical="center"/>
    </xf>
    <xf numFmtId="0" fontId="29" fillId="6" borderId="64" xfId="47" applyFont="1" applyFill="1" applyBorder="1" applyAlignment="1">
      <alignment horizontal="left" vertical="center"/>
    </xf>
    <xf numFmtId="165" fontId="29" fillId="6" borderId="64" xfId="47" applyNumberFormat="1" applyFont="1" applyFill="1" applyBorder="1" applyAlignment="1">
      <alignment horizontal="left" vertical="center"/>
    </xf>
    <xf numFmtId="165" fontId="9" fillId="6" borderId="64" xfId="47" applyNumberFormat="1" applyFont="1" applyFill="1" applyBorder="1" applyAlignment="1">
      <alignment horizontal="left" vertical="center"/>
    </xf>
    <xf numFmtId="164" fontId="9" fillId="0" borderId="55" xfId="47" applyNumberFormat="1" applyFont="1" applyBorder="1" applyAlignment="1">
      <alignment horizontal="center" vertical="center"/>
    </xf>
    <xf numFmtId="165" fontId="10" fillId="0" borderId="63" xfId="47" applyNumberFormat="1" applyFont="1" applyBorder="1" applyAlignment="1">
      <alignment horizontal="center" vertical="center" wrapText="1"/>
    </xf>
    <xf numFmtId="3" fontId="10" fillId="4" borderId="83" xfId="47" applyNumberFormat="1" applyFont="1" applyFill="1" applyBorder="1" applyAlignment="1">
      <alignment horizontal="center" vertical="center" wrapText="1"/>
    </xf>
    <xf numFmtId="0" fontId="9" fillId="6" borderId="63" xfId="47" applyFont="1" applyFill="1" applyBorder="1" applyAlignment="1">
      <alignment horizontal="left" vertical="center" wrapText="1"/>
    </xf>
    <xf numFmtId="165" fontId="10" fillId="6" borderId="72" xfId="47" applyNumberFormat="1" applyFont="1" applyFill="1" applyBorder="1" applyAlignment="1">
      <alignment horizontal="center" vertical="center"/>
    </xf>
    <xf numFmtId="165" fontId="10" fillId="4" borderId="55" xfId="47" applyNumberFormat="1" applyFont="1" applyFill="1" applyBorder="1" applyAlignment="1">
      <alignment horizontal="left" vertical="center"/>
    </xf>
    <xf numFmtId="3" fontId="17" fillId="6" borderId="73" xfId="1" applyNumberFormat="1" applyFont="1" applyFill="1" applyBorder="1" applyAlignment="1" applyProtection="1">
      <alignment horizontal="center" vertical="center"/>
      <protection locked="0"/>
    </xf>
    <xf numFmtId="3" fontId="17" fillId="6" borderId="63" xfId="1" applyNumberFormat="1" applyFont="1" applyFill="1" applyBorder="1" applyAlignment="1" applyProtection="1">
      <alignment horizontal="center" vertical="center"/>
      <protection locked="0"/>
    </xf>
    <xf numFmtId="168" fontId="33" fillId="9" borderId="84" xfId="0" applyNumberFormat="1" applyFont="1" applyFill="1" applyBorder="1" applyAlignment="1">
      <alignment horizontal="left" vertical="center"/>
    </xf>
    <xf numFmtId="0" fontId="55" fillId="4" borderId="0" xfId="47" applyFont="1" applyFill="1" applyAlignment="1">
      <alignment horizontal="left" vertical="center" wrapText="1"/>
    </xf>
    <xf numFmtId="3" fontId="55" fillId="4" borderId="0" xfId="47" applyNumberFormat="1" applyFont="1" applyFill="1" applyAlignment="1">
      <alignment horizontal="left" vertical="center"/>
    </xf>
    <xf numFmtId="0" fontId="55" fillId="0" borderId="0" xfId="0" applyFont="1"/>
    <xf numFmtId="0" fontId="55" fillId="4" borderId="0" xfId="47" applyFont="1" applyFill="1" applyAlignment="1">
      <alignment horizontal="center" vertical="center"/>
    </xf>
    <xf numFmtId="0" fontId="55" fillId="4" borderId="0" xfId="47" applyFont="1" applyFill="1" applyAlignment="1">
      <alignment horizontal="center" vertical="center" wrapText="1"/>
    </xf>
    <xf numFmtId="3" fontId="55" fillId="4" borderId="0" xfId="47" applyNumberFormat="1" applyFont="1" applyFill="1" applyAlignment="1">
      <alignment horizontal="center" vertical="center"/>
    </xf>
    <xf numFmtId="164" fontId="55" fillId="4" borderId="0" xfId="47" applyNumberFormat="1" applyFont="1" applyFill="1" applyAlignment="1">
      <alignment horizontal="center" vertical="center"/>
    </xf>
    <xf numFmtId="0" fontId="9" fillId="4" borderId="3" xfId="47" applyFont="1" applyFill="1" applyBorder="1" applyAlignment="1">
      <alignment vertical="center"/>
    </xf>
    <xf numFmtId="0" fontId="9" fillId="4" borderId="1" xfId="47" applyFont="1" applyFill="1" applyBorder="1" applyAlignment="1">
      <alignment vertical="center"/>
    </xf>
    <xf numFmtId="0" fontId="11" fillId="0" borderId="16" xfId="47" applyFont="1" applyBorder="1" applyAlignment="1">
      <alignment horizontal="center" vertical="center"/>
    </xf>
    <xf numFmtId="0" fontId="57" fillId="0" borderId="0" xfId="0" applyFont="1"/>
    <xf numFmtId="0" fontId="38" fillId="0" borderId="11" xfId="0" applyFont="1" applyBorder="1" applyAlignment="1">
      <alignment horizontal="center"/>
    </xf>
    <xf numFmtId="0" fontId="38" fillId="0" borderId="5" xfId="0" applyFont="1" applyBorder="1" applyAlignment="1">
      <alignment horizontal="center"/>
    </xf>
    <xf numFmtId="0" fontId="38" fillId="0" borderId="0" xfId="0" applyFont="1" applyAlignment="1">
      <alignment horizontal="center"/>
    </xf>
    <xf numFmtId="0" fontId="38" fillId="0" borderId="6" xfId="0" applyFont="1" applyBorder="1"/>
    <xf numFmtId="0" fontId="38" fillId="0" borderId="7" xfId="0" applyFont="1" applyBorder="1"/>
    <xf numFmtId="0" fontId="38" fillId="0" borderId="7" xfId="0" applyFont="1" applyBorder="1" applyAlignment="1">
      <alignment wrapText="1"/>
    </xf>
    <xf numFmtId="0" fontId="38" fillId="0" borderId="1" xfId="0" applyFont="1" applyBorder="1" applyAlignment="1">
      <alignment wrapText="1"/>
    </xf>
    <xf numFmtId="0" fontId="38" fillId="0" borderId="24" xfId="0" applyFont="1" applyBorder="1" applyAlignment="1">
      <alignment wrapText="1"/>
    </xf>
    <xf numFmtId="0" fontId="38" fillId="0" borderId="2" xfId="0" applyFont="1" applyBorder="1" applyAlignment="1">
      <alignment wrapText="1"/>
    </xf>
    <xf numFmtId="0" fontId="38" fillId="0" borderId="8" xfId="0" applyFont="1" applyBorder="1" applyAlignment="1">
      <alignment wrapText="1"/>
    </xf>
    <xf numFmtId="0" fontId="38" fillId="0" borderId="85" xfId="0" applyFont="1" applyBorder="1" applyAlignment="1">
      <alignment wrapText="1"/>
    </xf>
    <xf numFmtId="0" fontId="38" fillId="0" borderId="86" xfId="0" applyFont="1" applyBorder="1" applyAlignment="1">
      <alignment wrapText="1"/>
    </xf>
    <xf numFmtId="0" fontId="38" fillId="0" borderId="12" xfId="0" applyFont="1" applyBorder="1" applyAlignment="1">
      <alignment wrapText="1"/>
    </xf>
    <xf numFmtId="0" fontId="38" fillId="0" borderId="11" xfId="0" applyFont="1" applyBorder="1" applyAlignment="1">
      <alignment wrapText="1"/>
    </xf>
    <xf numFmtId="0" fontId="38" fillId="0" borderId="87" xfId="0" applyFont="1" applyBorder="1" applyAlignment="1">
      <alignment wrapText="1"/>
    </xf>
    <xf numFmtId="0" fontId="38" fillId="0" borderId="88" xfId="0" applyFont="1" applyBorder="1"/>
    <xf numFmtId="0" fontId="38" fillId="0" borderId="89" xfId="0" applyFont="1" applyBorder="1"/>
    <xf numFmtId="167" fontId="38" fillId="12" borderId="90" xfId="48" applyNumberFormat="1" applyFont="1" applyFill="1" applyBorder="1"/>
    <xf numFmtId="167" fontId="38" fillId="12" borderId="91" xfId="48" applyNumberFormat="1" applyFont="1" applyFill="1" applyBorder="1"/>
    <xf numFmtId="167" fontId="38" fillId="20" borderId="91" xfId="48" applyNumberFormat="1" applyFont="1" applyFill="1" applyBorder="1"/>
    <xf numFmtId="167" fontId="38" fillId="20" borderId="92" xfId="48" applyNumberFormat="1" applyFont="1" applyFill="1" applyBorder="1"/>
    <xf numFmtId="167" fontId="38" fillId="12" borderId="92" xfId="48" applyNumberFormat="1" applyFont="1" applyFill="1" applyBorder="1"/>
    <xf numFmtId="167" fontId="38" fillId="12" borderId="93" xfId="48" applyNumberFormat="1" applyFont="1" applyFill="1" applyBorder="1"/>
    <xf numFmtId="0" fontId="38" fillId="0" borderId="91" xfId="0" applyFont="1" applyBorder="1"/>
    <xf numFmtId="0" fontId="0" fillId="0" borderId="94" xfId="0" applyBorder="1"/>
    <xf numFmtId="0" fontId="0" fillId="0" borderId="0" xfId="0" quotePrefix="1"/>
    <xf numFmtId="167" fontId="0" fillId="12" borderId="3" xfId="48" applyNumberFormat="1" applyFont="1" applyFill="1" applyBorder="1"/>
    <xf numFmtId="167" fontId="0" fillId="12" borderId="0" xfId="48" applyNumberFormat="1" applyFont="1" applyFill="1" applyBorder="1"/>
    <xf numFmtId="167" fontId="0" fillId="20" borderId="0" xfId="48" applyNumberFormat="1" applyFont="1" applyFill="1" applyBorder="1"/>
    <xf numFmtId="167" fontId="0" fillId="20" borderId="55" xfId="48" applyNumberFormat="1" applyFont="1" applyFill="1" applyBorder="1"/>
    <xf numFmtId="167" fontId="0" fillId="12" borderId="55" xfId="48" applyNumberFormat="1" applyFont="1" applyFill="1" applyBorder="1"/>
    <xf numFmtId="167" fontId="0" fillId="12" borderId="13" xfId="48" applyNumberFormat="1" applyFont="1" applyFill="1" applyBorder="1"/>
    <xf numFmtId="0" fontId="0" fillId="0" borderId="3" xfId="0" applyBorder="1"/>
    <xf numFmtId="167" fontId="38" fillId="12" borderId="88" xfId="48" applyNumberFormat="1" applyFont="1" applyFill="1" applyBorder="1"/>
    <xf numFmtId="167" fontId="38" fillId="12" borderId="89" xfId="48" applyNumberFormat="1" applyFont="1" applyFill="1" applyBorder="1"/>
    <xf numFmtId="167" fontId="38" fillId="20" borderId="89" xfId="48" applyNumberFormat="1" applyFont="1" applyFill="1" applyBorder="1"/>
    <xf numFmtId="167" fontId="38" fillId="20" borderId="95" xfId="48" applyNumberFormat="1" applyFont="1" applyFill="1" applyBorder="1"/>
    <xf numFmtId="167" fontId="38" fillId="12" borderId="95" xfId="48" applyNumberFormat="1" applyFont="1" applyFill="1" applyBorder="1"/>
    <xf numFmtId="167" fontId="38" fillId="12" borderId="96" xfId="48" applyNumberFormat="1" applyFont="1" applyFill="1" applyBorder="1"/>
    <xf numFmtId="167" fontId="38" fillId="12" borderId="97" xfId="48" applyNumberFormat="1" applyFont="1" applyFill="1" applyBorder="1"/>
    <xf numFmtId="167" fontId="38" fillId="12" borderId="98" xfId="48" applyNumberFormat="1" applyFont="1" applyFill="1" applyBorder="1"/>
    <xf numFmtId="167" fontId="38" fillId="20" borderId="98" xfId="48" applyNumberFormat="1" applyFont="1" applyFill="1" applyBorder="1"/>
    <xf numFmtId="167" fontId="38" fillId="20" borderId="99" xfId="48" applyNumberFormat="1" applyFont="1" applyFill="1" applyBorder="1"/>
    <xf numFmtId="167" fontId="38" fillId="12" borderId="99" xfId="48" applyNumberFormat="1" applyFont="1" applyFill="1" applyBorder="1"/>
    <xf numFmtId="167" fontId="38" fillId="12" borderId="100" xfId="48" applyNumberFormat="1" applyFont="1" applyFill="1" applyBorder="1"/>
    <xf numFmtId="0" fontId="0" fillId="0" borderId="11" xfId="0" applyBorder="1"/>
    <xf numFmtId="0" fontId="38" fillId="0" borderId="0" xfId="0" applyFont="1" applyAlignment="1">
      <alignment wrapText="1"/>
    </xf>
    <xf numFmtId="0" fontId="38" fillId="0" borderId="0" xfId="0" applyFont="1"/>
    <xf numFmtId="0" fontId="58" fillId="0" borderId="101" xfId="0" applyFont="1" applyBorder="1" applyAlignment="1">
      <alignment vertical="top" wrapText="1" readingOrder="1"/>
    </xf>
    <xf numFmtId="0" fontId="58" fillId="0" borderId="102" xfId="0" applyFont="1" applyBorder="1" applyAlignment="1">
      <alignment vertical="top" wrapText="1" readingOrder="1"/>
    </xf>
    <xf numFmtId="0" fontId="58" fillId="0" borderId="0" xfId="0" applyFont="1" applyAlignment="1">
      <alignment vertical="top" wrapText="1" readingOrder="1"/>
    </xf>
    <xf numFmtId="167" fontId="0" fillId="0" borderId="0" xfId="48" applyNumberFormat="1" applyFont="1" applyFill="1"/>
    <xf numFmtId="167" fontId="0" fillId="0" borderId="0" xfId="0" applyNumberFormat="1"/>
    <xf numFmtId="43" fontId="0" fillId="0" borderId="0" xfId="48" applyFont="1"/>
    <xf numFmtId="43" fontId="38" fillId="0" borderId="2" xfId="48" applyFont="1" applyFill="1" applyBorder="1"/>
    <xf numFmtId="43" fontId="0" fillId="0" borderId="0" xfId="48" applyFont="1" applyFill="1" applyBorder="1"/>
    <xf numFmtId="43" fontId="38" fillId="0" borderId="4" xfId="48" applyFont="1" applyFill="1" applyBorder="1" applyAlignment="1">
      <alignment wrapText="1"/>
    </xf>
    <xf numFmtId="43" fontId="38" fillId="0" borderId="5" xfId="48" applyFont="1" applyFill="1" applyBorder="1"/>
    <xf numFmtId="43" fontId="38" fillId="0" borderId="0" xfId="48" applyFont="1" applyFill="1" applyBorder="1" applyAlignment="1">
      <alignment horizontal="right"/>
    </xf>
    <xf numFmtId="43" fontId="38" fillId="0" borderId="0" xfId="48" applyFont="1" applyFill="1" applyBorder="1"/>
    <xf numFmtId="0" fontId="38" fillId="0" borderId="40" xfId="0" applyFont="1" applyBorder="1" applyAlignment="1">
      <alignment wrapText="1"/>
    </xf>
    <xf numFmtId="43" fontId="0" fillId="0" borderId="24" xfId="48" applyFont="1" applyBorder="1"/>
    <xf numFmtId="43" fontId="0" fillId="0" borderId="24" xfId="48" applyFont="1" applyBorder="1" applyAlignment="1">
      <alignment wrapText="1"/>
    </xf>
    <xf numFmtId="0" fontId="0" fillId="0" borderId="24" xfId="0" applyBorder="1"/>
    <xf numFmtId="43" fontId="38" fillId="0" borderId="2" xfId="48" applyFont="1" applyBorder="1"/>
    <xf numFmtId="43" fontId="0" fillId="0" borderId="11" xfId="48" applyFont="1" applyFill="1" applyBorder="1"/>
    <xf numFmtId="43" fontId="38" fillId="0" borderId="5" xfId="48" applyFont="1" applyBorder="1"/>
    <xf numFmtId="0" fontId="38" fillId="0" borderId="0" xfId="0" applyFont="1" applyAlignment="1">
      <alignment horizontal="right"/>
    </xf>
    <xf numFmtId="0" fontId="46" fillId="0" borderId="0" xfId="0" applyFont="1" applyAlignment="1">
      <alignment vertical="top"/>
    </xf>
    <xf numFmtId="43" fontId="38" fillId="0" borderId="24" xfId="48" applyFont="1" applyFill="1" applyBorder="1"/>
    <xf numFmtId="0" fontId="49" fillId="0" borderId="0" xfId="0" applyFont="1"/>
    <xf numFmtId="165" fontId="49" fillId="0" borderId="0" xfId="48" applyNumberFormat="1" applyFont="1"/>
    <xf numFmtId="165" fontId="0" fillId="13" borderId="8" xfId="48" applyNumberFormat="1" applyFont="1" applyFill="1" applyBorder="1"/>
    <xf numFmtId="165" fontId="0" fillId="0" borderId="0" xfId="48" applyNumberFormat="1" applyFont="1"/>
    <xf numFmtId="165" fontId="0" fillId="0" borderId="0" xfId="0" applyNumberFormat="1"/>
    <xf numFmtId="10" fontId="0" fillId="0" borderId="0" xfId="49" applyNumberFormat="1" applyFont="1"/>
    <xf numFmtId="164" fontId="38" fillId="0" borderId="1" xfId="0" applyNumberFormat="1" applyFont="1" applyBorder="1" applyAlignment="1">
      <alignment wrapText="1"/>
    </xf>
    <xf numFmtId="164" fontId="38" fillId="0" borderId="24" xfId="0" applyNumberFormat="1" applyFont="1" applyBorder="1" applyAlignment="1">
      <alignment wrapText="1"/>
    </xf>
    <xf numFmtId="164" fontId="38" fillId="17" borderId="24" xfId="0" applyNumberFormat="1" applyFont="1" applyFill="1" applyBorder="1" applyAlignment="1">
      <alignment wrapText="1"/>
    </xf>
    <xf numFmtId="164" fontId="38" fillId="0" borderId="2" xfId="0" applyNumberFormat="1" applyFont="1" applyBorder="1" applyAlignment="1">
      <alignment wrapText="1"/>
    </xf>
    <xf numFmtId="164" fontId="38" fillId="0" borderId="3" xfId="48" applyNumberFormat="1" applyFont="1" applyBorder="1"/>
    <xf numFmtId="164" fontId="38" fillId="0" borderId="0" xfId="48" applyNumberFormat="1" applyFont="1" applyBorder="1"/>
    <xf numFmtId="164" fontId="38" fillId="17" borderId="0" xfId="48" applyNumberFormat="1" applyFont="1" applyFill="1" applyBorder="1"/>
    <xf numFmtId="164" fontId="38" fillId="0" borderId="55" xfId="48" applyNumberFormat="1" applyFont="1" applyBorder="1"/>
    <xf numFmtId="164" fontId="0" fillId="0" borderId="3" xfId="48" applyNumberFormat="1" applyFont="1" applyBorder="1"/>
    <xf numFmtId="164" fontId="0" fillId="0" borderId="0" xfId="48" applyNumberFormat="1" applyFont="1" applyBorder="1"/>
    <xf numFmtId="164" fontId="0" fillId="17" borderId="0" xfId="48" applyNumberFormat="1" applyFont="1" applyFill="1" applyBorder="1"/>
    <xf numFmtId="164" fontId="0" fillId="0" borderId="55" xfId="48" applyNumberFormat="1" applyFont="1" applyBorder="1"/>
    <xf numFmtId="3" fontId="0" fillId="0" borderId="0" xfId="0" applyNumberFormat="1"/>
    <xf numFmtId="0" fontId="0" fillId="0" borderId="16" xfId="0" applyBorder="1"/>
    <xf numFmtId="3" fontId="11" fillId="10" borderId="63" xfId="23" applyNumberFormat="1" applyFont="1" applyFill="1" applyBorder="1" applyAlignment="1">
      <alignment horizontal="center" vertical="center"/>
    </xf>
    <xf numFmtId="164" fontId="11" fillId="10" borderId="39" xfId="23" applyNumberFormat="1" applyFont="1" applyFill="1" applyBorder="1" applyAlignment="1">
      <alignment horizontal="center" vertical="center"/>
    </xf>
    <xf numFmtId="164" fontId="11" fillId="10" borderId="45" xfId="23" applyNumberFormat="1" applyFont="1" applyFill="1" applyBorder="1" applyAlignment="1">
      <alignment horizontal="center" vertical="center"/>
    </xf>
    <xf numFmtId="164" fontId="11" fillId="10" borderId="58" xfId="23" applyNumberFormat="1" applyFont="1" applyFill="1" applyBorder="1" applyAlignment="1">
      <alignment horizontal="center" vertical="center"/>
    </xf>
    <xf numFmtId="0" fontId="8" fillId="0" borderId="6" xfId="0" applyFont="1" applyBorder="1"/>
    <xf numFmtId="43" fontId="8" fillId="0" borderId="7" xfId="0" applyNumberFormat="1" applyFont="1" applyBorder="1"/>
    <xf numFmtId="43" fontId="0" fillId="0" borderId="32" xfId="0" applyNumberFormat="1" applyBorder="1"/>
    <xf numFmtId="43" fontId="0" fillId="0" borderId="28" xfId="0" applyNumberFormat="1" applyBorder="1"/>
    <xf numFmtId="43" fontId="0" fillId="0" borderId="56" xfId="0" applyNumberFormat="1" applyBorder="1"/>
    <xf numFmtId="43" fontId="0" fillId="0" borderId="77" xfId="0" applyNumberFormat="1" applyBorder="1"/>
    <xf numFmtId="0" fontId="0" fillId="0" borderId="72" xfId="0" applyBorder="1"/>
    <xf numFmtId="43" fontId="0" fillId="0" borderId="30" xfId="0" applyNumberFormat="1" applyBorder="1"/>
    <xf numFmtId="43" fontId="0" fillId="0" borderId="47" xfId="0" applyNumberFormat="1" applyBorder="1"/>
    <xf numFmtId="1" fontId="17" fillId="23" borderId="10" xfId="0" applyNumberFormat="1" applyFont="1" applyFill="1" applyBorder="1" applyAlignment="1">
      <alignment horizontal="left"/>
    </xf>
    <xf numFmtId="0" fontId="17" fillId="23" borderId="10" xfId="0" applyFont="1" applyFill="1" applyBorder="1" applyAlignment="1">
      <alignment horizontal="left"/>
    </xf>
    <xf numFmtId="4" fontId="17" fillId="23" borderId="10" xfId="2" applyNumberFormat="1" applyFont="1" applyFill="1" applyBorder="1" applyAlignment="1" applyProtection="1">
      <alignment horizontal="right"/>
    </xf>
    <xf numFmtId="165" fontId="17" fillId="23" borderId="10" xfId="2" applyNumberFormat="1" applyFont="1" applyFill="1" applyBorder="1" applyAlignment="1" applyProtection="1">
      <alignment horizontal="right"/>
    </xf>
    <xf numFmtId="165" fontId="17" fillId="23" borderId="10" xfId="0" applyNumberFormat="1" applyFont="1" applyFill="1" applyBorder="1" applyAlignment="1">
      <alignment horizontal="right"/>
    </xf>
    <xf numFmtId="10" fontId="17" fillId="23" borderId="10" xfId="2" applyNumberFormat="1" applyFont="1" applyFill="1" applyBorder="1" applyAlignment="1" applyProtection="1">
      <alignment horizontal="right"/>
    </xf>
    <xf numFmtId="0" fontId="17" fillId="4" borderId="0" xfId="0" applyFont="1" applyFill="1"/>
    <xf numFmtId="3" fontId="62" fillId="24" borderId="10" xfId="0" applyNumberFormat="1" applyFont="1" applyFill="1" applyBorder="1" applyAlignment="1">
      <alignment horizontal="right" wrapText="1"/>
    </xf>
    <xf numFmtId="164" fontId="62" fillId="24" borderId="10" xfId="0" applyNumberFormat="1" applyFont="1" applyFill="1" applyBorder="1" applyAlignment="1">
      <alignment horizontal="right" wrapText="1"/>
    </xf>
    <xf numFmtId="164" fontId="62" fillId="10" borderId="10" xfId="0" applyNumberFormat="1" applyFont="1" applyFill="1" applyBorder="1" applyAlignment="1">
      <alignment horizontal="right" wrapText="1"/>
    </xf>
    <xf numFmtId="0" fontId="12" fillId="0" borderId="0" xfId="0" applyFont="1"/>
    <xf numFmtId="0" fontId="62" fillId="24" borderId="64" xfId="0" applyFont="1" applyFill="1" applyBorder="1" applyAlignment="1">
      <alignment wrapText="1"/>
    </xf>
    <xf numFmtId="1" fontId="17" fillId="19" borderId="10" xfId="0" applyNumberFormat="1" applyFont="1" applyFill="1" applyBorder="1" applyAlignment="1">
      <alignment horizontal="center" vertical="center" wrapText="1"/>
    </xf>
    <xf numFmtId="172" fontId="62" fillId="24" borderId="10" xfId="53" applyNumberFormat="1" applyFont="1" applyFill="1" applyBorder="1" applyAlignment="1" applyProtection="1">
      <alignment horizontal="right" vertical="center" wrapText="1"/>
    </xf>
    <xf numFmtId="4" fontId="17" fillId="23" borderId="10" xfId="0" applyNumberFormat="1" applyFont="1" applyFill="1" applyBorder="1" applyAlignment="1">
      <alignment horizontal="right"/>
    </xf>
    <xf numFmtId="1" fontId="17" fillId="19" borderId="25" xfId="0" applyNumberFormat="1" applyFont="1" applyFill="1" applyBorder="1" applyAlignment="1">
      <alignment horizontal="center" vertical="center" wrapText="1"/>
    </xf>
    <xf numFmtId="0" fontId="17" fillId="19" borderId="10" xfId="0" applyFont="1" applyFill="1" applyBorder="1" applyAlignment="1">
      <alignment horizontal="center" vertical="center" wrapText="1"/>
    </xf>
    <xf numFmtId="2" fontId="17" fillId="19" borderId="10" xfId="0" applyNumberFormat="1" applyFont="1" applyFill="1" applyBorder="1" applyAlignment="1">
      <alignment horizontal="center" vertical="center" wrapText="1"/>
    </xf>
    <xf numFmtId="1" fontId="17" fillId="7" borderId="10" xfId="0" applyNumberFormat="1" applyFont="1" applyFill="1" applyBorder="1" applyAlignment="1">
      <alignment horizontal="center" vertical="center" wrapText="1"/>
    </xf>
    <xf numFmtId="2" fontId="17" fillId="7" borderId="10" xfId="0" applyNumberFormat="1" applyFont="1" applyFill="1" applyBorder="1" applyAlignment="1">
      <alignment horizontal="center" vertical="center" wrapText="1"/>
    </xf>
    <xf numFmtId="1" fontId="62" fillId="10" borderId="64" xfId="0" applyNumberFormat="1" applyFont="1" applyFill="1" applyBorder="1" applyAlignment="1">
      <alignment vertical="center" wrapText="1"/>
    </xf>
    <xf numFmtId="1" fontId="62" fillId="10" borderId="25" xfId="0" applyNumberFormat="1" applyFont="1" applyFill="1" applyBorder="1" applyAlignment="1">
      <alignment vertical="center" wrapText="1"/>
    </xf>
    <xf numFmtId="167" fontId="38" fillId="10" borderId="10" xfId="0" applyNumberFormat="1" applyFont="1" applyFill="1" applyBorder="1" applyAlignment="1">
      <alignment horizontal="right" vertical="center" wrapText="1"/>
    </xf>
    <xf numFmtId="167" fontId="14" fillId="10" borderId="10" xfId="0" applyNumberFormat="1" applyFont="1" applyFill="1" applyBorder="1" applyAlignment="1">
      <alignment horizontal="center" vertical="center" wrapText="1"/>
    </xf>
    <xf numFmtId="1" fontId="17" fillId="23" borderId="25" xfId="0" applyNumberFormat="1" applyFont="1" applyFill="1" applyBorder="1" applyAlignment="1">
      <alignment horizontal="left"/>
    </xf>
    <xf numFmtId="0" fontId="17" fillId="23" borderId="25" xfId="0" applyFont="1" applyFill="1" applyBorder="1" applyAlignment="1">
      <alignment horizontal="left"/>
    </xf>
    <xf numFmtId="4" fontId="17" fillId="23" borderId="10" xfId="0" applyNumberFormat="1" applyFont="1" applyFill="1" applyBorder="1" applyAlignment="1">
      <alignment horizontal="left"/>
    </xf>
    <xf numFmtId="173" fontId="17" fillId="23" borderId="10" xfId="0" applyNumberFormat="1" applyFont="1" applyFill="1" applyBorder="1" applyAlignment="1">
      <alignment horizontal="right"/>
    </xf>
    <xf numFmtId="4" fontId="17" fillId="23" borderId="10" xfId="0" applyNumberFormat="1" applyFont="1" applyFill="1" applyBorder="1" applyAlignment="1">
      <alignment horizontal="right" wrapText="1"/>
    </xf>
    <xf numFmtId="1" fontId="62" fillId="24" borderId="64" xfId="0" applyNumberFormat="1" applyFont="1" applyFill="1" applyBorder="1" applyAlignment="1">
      <alignment vertical="center" wrapText="1"/>
    </xf>
    <xf numFmtId="0" fontId="63" fillId="0" borderId="0" xfId="1" applyFont="1" applyAlignment="1">
      <alignment horizontal="left" vertical="center"/>
    </xf>
    <xf numFmtId="0" fontId="65" fillId="0" borderId="0" xfId="0" applyFont="1" applyAlignment="1">
      <alignment horizontal="center" vertical="center"/>
    </xf>
    <xf numFmtId="0" fontId="64" fillId="0" borderId="0" xfId="1" applyFont="1" applyAlignment="1">
      <alignment vertical="center"/>
    </xf>
    <xf numFmtId="164" fontId="66" fillId="0" borderId="0" xfId="56" applyNumberFormat="1" applyFont="1" applyFill="1" applyBorder="1" applyAlignment="1" applyProtection="1">
      <alignment horizontal="center" vertical="center"/>
    </xf>
    <xf numFmtId="164" fontId="65" fillId="0" borderId="0" xfId="0" applyNumberFormat="1" applyFont="1" applyAlignment="1">
      <alignment horizontal="center" vertical="center"/>
    </xf>
    <xf numFmtId="174" fontId="66" fillId="0" borderId="0" xfId="1" applyNumberFormat="1" applyFont="1" applyAlignment="1">
      <alignment horizontal="left" vertical="center"/>
    </xf>
    <xf numFmtId="164" fontId="66" fillId="0" borderId="0" xfId="1" applyNumberFormat="1" applyFont="1" applyAlignment="1">
      <alignment horizontal="center" vertical="center"/>
    </xf>
    <xf numFmtId="164" fontId="66" fillId="0" borderId="0" xfId="2" applyNumberFormat="1" applyFont="1" applyFill="1" applyBorder="1" applyAlignment="1" applyProtection="1">
      <alignment horizontal="center" vertical="center"/>
    </xf>
    <xf numFmtId="0" fontId="65" fillId="0" borderId="0" xfId="0" applyFont="1" applyAlignment="1">
      <alignment vertical="center"/>
    </xf>
    <xf numFmtId="0" fontId="64" fillId="0" borderId="0" xfId="1" applyFont="1" applyAlignment="1">
      <alignment horizontal="center" vertical="center"/>
    </xf>
    <xf numFmtId="0" fontId="66" fillId="0" borderId="0" xfId="1" applyFont="1" applyAlignment="1">
      <alignment horizontal="left" vertical="center"/>
    </xf>
    <xf numFmtId="0" fontId="64" fillId="0" borderId="0" xfId="1" applyFont="1" applyAlignment="1">
      <alignment horizontal="left" vertical="center"/>
    </xf>
    <xf numFmtId="164" fontId="64" fillId="0" borderId="0" xfId="1" applyNumberFormat="1" applyFont="1" applyAlignment="1">
      <alignment horizontal="center" vertical="center"/>
    </xf>
    <xf numFmtId="0" fontId="66" fillId="0" borderId="0" xfId="1" applyFont="1" applyAlignment="1">
      <alignment vertical="center"/>
    </xf>
    <xf numFmtId="0" fontId="12" fillId="0" borderId="0" xfId="1" applyAlignment="1">
      <alignment horizontal="left"/>
    </xf>
    <xf numFmtId="0" fontId="45" fillId="0" borderId="0" xfId="133" applyAlignment="1">
      <alignment horizontal="left" vertical="center" wrapText="1"/>
    </xf>
    <xf numFmtId="0" fontId="10" fillId="0" borderId="10" xfId="0" applyFont="1" applyBorder="1" applyAlignment="1">
      <alignment horizontal="center" vertical="center" wrapText="1"/>
    </xf>
    <xf numFmtId="175" fontId="14" fillId="0" borderId="10" xfId="0" applyNumberFormat="1" applyFont="1" applyBorder="1" applyAlignment="1">
      <alignment horizontal="left"/>
    </xf>
    <xf numFmtId="0" fontId="14" fillId="0" borderId="10" xfId="0" applyFont="1" applyBorder="1" applyAlignment="1">
      <alignment horizontal="left"/>
    </xf>
    <xf numFmtId="0" fontId="45" fillId="0" borderId="0" xfId="133"/>
    <xf numFmtId="0" fontId="11" fillId="3" borderId="29" xfId="23" applyFont="1" applyFill="1" applyBorder="1" applyAlignment="1">
      <alignment horizontal="left" vertical="center" wrapText="1"/>
    </xf>
    <xf numFmtId="165" fontId="11" fillId="0" borderId="14" xfId="1" applyNumberFormat="1" applyFont="1" applyBorder="1" applyAlignment="1">
      <alignment horizontal="center" vertical="center"/>
    </xf>
    <xf numFmtId="0" fontId="11" fillId="3" borderId="14" xfId="23" applyFont="1" applyFill="1" applyBorder="1" applyAlignment="1">
      <alignment horizontal="center" vertical="center"/>
    </xf>
    <xf numFmtId="3" fontId="11" fillId="0" borderId="26" xfId="23" applyNumberFormat="1" applyFont="1" applyBorder="1" applyAlignment="1">
      <alignment horizontal="center" vertical="center"/>
    </xf>
    <xf numFmtId="0" fontId="11" fillId="6" borderId="12" xfId="23" applyFont="1" applyFill="1" applyBorder="1" applyAlignment="1">
      <alignment horizontal="left" vertical="center"/>
    </xf>
    <xf numFmtId="0" fontId="0" fillId="6" borderId="16" xfId="0" applyFill="1" applyBorder="1"/>
    <xf numFmtId="176" fontId="0" fillId="0" borderId="73" xfId="0" applyNumberFormat="1" applyBorder="1"/>
    <xf numFmtId="176" fontId="0" fillId="0" borderId="63" xfId="0" applyNumberFormat="1" applyBorder="1"/>
    <xf numFmtId="176" fontId="0" fillId="0" borderId="63" xfId="48" applyNumberFormat="1" applyFont="1" applyBorder="1"/>
    <xf numFmtId="176" fontId="0" fillId="0" borderId="25" xfId="0" applyNumberFormat="1" applyBorder="1"/>
    <xf numFmtId="176" fontId="0" fillId="0" borderId="10" xfId="0" applyNumberFormat="1" applyBorder="1"/>
    <xf numFmtId="176" fontId="0" fillId="0" borderId="10" xfId="48" applyNumberFormat="1" applyFont="1" applyBorder="1"/>
    <xf numFmtId="176" fontId="0" fillId="6" borderId="25" xfId="0" applyNumberFormat="1" applyFill="1" applyBorder="1"/>
    <xf numFmtId="176" fontId="0" fillId="6" borderId="10" xfId="48" applyNumberFormat="1" applyFont="1" applyFill="1" applyBorder="1"/>
    <xf numFmtId="176" fontId="0" fillId="0" borderId="0" xfId="0" applyNumberFormat="1"/>
    <xf numFmtId="176" fontId="8" fillId="0" borderId="7" xfId="0" applyNumberFormat="1" applyFont="1" applyBorder="1"/>
    <xf numFmtId="176" fontId="8" fillId="0" borderId="12" xfId="0" applyNumberFormat="1" applyFont="1" applyBorder="1"/>
    <xf numFmtId="0" fontId="67" fillId="0" borderId="0" xfId="0" applyFont="1"/>
    <xf numFmtId="176" fontId="0" fillId="0" borderId="105" xfId="48" applyNumberFormat="1" applyFont="1" applyBorder="1"/>
    <xf numFmtId="176" fontId="0" fillId="6" borderId="105" xfId="48" applyNumberFormat="1" applyFont="1" applyFill="1" applyBorder="1"/>
    <xf numFmtId="43" fontId="0" fillId="0" borderId="10" xfId="0" applyNumberFormat="1" applyBorder="1"/>
    <xf numFmtId="0" fontId="8" fillId="0" borderId="0" xfId="0" applyFont="1"/>
    <xf numFmtId="0" fontId="8" fillId="0" borderId="21" xfId="0" applyFont="1" applyBorder="1"/>
    <xf numFmtId="0" fontId="8" fillId="0" borderId="22" xfId="0" applyFont="1" applyBorder="1"/>
    <xf numFmtId="0" fontId="8" fillId="0" borderId="26" xfId="0" applyFont="1" applyBorder="1"/>
    <xf numFmtId="0" fontId="8" fillId="0" borderId="33" xfId="0" applyFont="1" applyBorder="1" applyAlignment="1">
      <alignment wrapText="1"/>
    </xf>
    <xf numFmtId="0" fontId="8" fillId="0" borderId="46" xfId="0" applyFont="1" applyBorder="1" applyAlignment="1">
      <alignment wrapText="1"/>
    </xf>
    <xf numFmtId="0" fontId="8" fillId="0" borderId="35" xfId="0" applyFont="1" applyBorder="1" applyAlignment="1">
      <alignment wrapText="1"/>
    </xf>
    <xf numFmtId="0" fontId="8" fillId="0" borderId="48" xfId="0" applyFont="1" applyBorder="1" applyAlignment="1">
      <alignment wrapText="1"/>
    </xf>
    <xf numFmtId="0" fontId="8" fillId="0" borderId="7" xfId="0" applyFont="1" applyBorder="1" applyAlignment="1">
      <alignment wrapText="1"/>
    </xf>
    <xf numFmtId="0" fontId="0" fillId="0" borderId="33" xfId="0" applyBorder="1"/>
    <xf numFmtId="0" fontId="0" fillId="0" borderId="48" xfId="0" applyBorder="1"/>
    <xf numFmtId="43" fontId="0" fillId="0" borderId="48" xfId="0" applyNumberFormat="1" applyBorder="1"/>
    <xf numFmtId="176" fontId="0" fillId="0" borderId="48" xfId="0" applyNumberFormat="1" applyBorder="1"/>
    <xf numFmtId="176" fontId="0" fillId="0" borderId="46" xfId="0" applyNumberFormat="1" applyBorder="1"/>
    <xf numFmtId="176" fontId="0" fillId="0" borderId="105" xfId="0" applyNumberFormat="1" applyBorder="1"/>
    <xf numFmtId="43" fontId="0" fillId="0" borderId="63" xfId="0" applyNumberFormat="1" applyBorder="1"/>
    <xf numFmtId="167" fontId="38" fillId="20" borderId="0" xfId="48" applyNumberFormat="1" applyFont="1" applyFill="1" applyBorder="1"/>
    <xf numFmtId="43" fontId="2" fillId="0" borderId="24" xfId="48" applyFont="1" applyFill="1" applyBorder="1"/>
    <xf numFmtId="43" fontId="0" fillId="6" borderId="31" xfId="0" applyNumberFormat="1" applyFill="1" applyBorder="1"/>
    <xf numFmtId="43" fontId="0" fillId="6" borderId="32" xfId="0" applyNumberFormat="1" applyFill="1" applyBorder="1"/>
    <xf numFmtId="43" fontId="0" fillId="6" borderId="28" xfId="0" applyNumberFormat="1" applyFill="1" applyBorder="1"/>
    <xf numFmtId="43" fontId="0" fillId="0" borderId="31" xfId="0" applyNumberFormat="1" applyBorder="1"/>
    <xf numFmtId="0" fontId="0" fillId="0" borderId="7" xfId="0" applyBorder="1"/>
    <xf numFmtId="43" fontId="0" fillId="0" borderId="27" xfId="0" applyNumberFormat="1" applyBorder="1"/>
    <xf numFmtId="0" fontId="0" fillId="0" borderId="54" xfId="0" applyBorder="1"/>
    <xf numFmtId="0" fontId="0" fillId="0" borderId="77" xfId="0" applyBorder="1"/>
    <xf numFmtId="176" fontId="0" fillId="0" borderId="56" xfId="0" applyNumberFormat="1" applyBorder="1"/>
    <xf numFmtId="176" fontId="0" fillId="0" borderId="54" xfId="48" applyNumberFormat="1" applyFont="1" applyBorder="1"/>
    <xf numFmtId="176" fontId="0" fillId="0" borderId="26" xfId="48" applyNumberFormat="1" applyFont="1" applyBorder="1"/>
    <xf numFmtId="176" fontId="0" fillId="0" borderId="7" xfId="0" applyNumberFormat="1" applyBorder="1"/>
    <xf numFmtId="176" fontId="0" fillId="0" borderId="77" xfId="0" applyNumberFormat="1" applyBorder="1"/>
    <xf numFmtId="176" fontId="0" fillId="0" borderId="20" xfId="0" applyNumberFormat="1" applyBorder="1"/>
    <xf numFmtId="176" fontId="0" fillId="6" borderId="28" xfId="0" applyNumberFormat="1" applyFill="1" applyBorder="1"/>
    <xf numFmtId="176" fontId="0" fillId="0" borderId="28" xfId="0" applyNumberFormat="1" applyBorder="1"/>
    <xf numFmtId="176" fontId="0" fillId="0" borderId="82" xfId="0" applyNumberFormat="1" applyBorder="1"/>
    <xf numFmtId="0" fontId="1" fillId="0" borderId="0" xfId="136"/>
    <xf numFmtId="0" fontId="1" fillId="0" borderId="0" xfId="136" applyAlignment="1">
      <alignment wrapText="1"/>
    </xf>
    <xf numFmtId="43" fontId="0" fillId="0" borderId="0" xfId="137" applyFont="1"/>
    <xf numFmtId="8" fontId="1" fillId="0" borderId="0" xfId="136" applyNumberFormat="1"/>
    <xf numFmtId="43" fontId="1" fillId="0" borderId="0" xfId="136" applyNumberFormat="1"/>
    <xf numFmtId="165" fontId="60" fillId="0" borderId="48" xfId="136" applyNumberFormat="1" applyFont="1" applyBorder="1"/>
    <xf numFmtId="0" fontId="60" fillId="0" borderId="48" xfId="136" applyFont="1" applyBorder="1"/>
    <xf numFmtId="165" fontId="46" fillId="0" borderId="0" xfId="136" applyNumberFormat="1" applyFont="1" applyAlignment="1">
      <alignment vertical="center"/>
    </xf>
    <xf numFmtId="165" fontId="1" fillId="0" borderId="0" xfId="136" applyNumberFormat="1"/>
    <xf numFmtId="43" fontId="46" fillId="0" borderId="0" xfId="137" applyFont="1" applyBorder="1"/>
    <xf numFmtId="43" fontId="46" fillId="0" borderId="0" xfId="137" applyFont="1" applyAlignment="1">
      <alignment vertical="center"/>
    </xf>
    <xf numFmtId="0" fontId="61" fillId="0" borderId="0" xfId="136" applyFont="1"/>
    <xf numFmtId="43" fontId="60" fillId="0" borderId="0" xfId="136" applyNumberFormat="1" applyFont="1"/>
    <xf numFmtId="165" fontId="60" fillId="0" borderId="34" xfId="136" applyNumberFormat="1" applyFont="1" applyBorder="1"/>
    <xf numFmtId="165" fontId="60" fillId="0" borderId="46" xfId="136" applyNumberFormat="1" applyFont="1" applyBorder="1"/>
    <xf numFmtId="43" fontId="60" fillId="21" borderId="48" xfId="136" applyNumberFormat="1" applyFont="1" applyFill="1" applyBorder="1"/>
    <xf numFmtId="43" fontId="60" fillId="0" borderId="48" xfId="136" applyNumberFormat="1" applyFont="1" applyBorder="1"/>
    <xf numFmtId="43" fontId="60" fillId="0" borderId="48" xfId="136" applyNumberFormat="1" applyFont="1" applyBorder="1" applyAlignment="1">
      <alignment wrapText="1"/>
    </xf>
    <xf numFmtId="43" fontId="60" fillId="0" borderId="48" xfId="137" applyFont="1" applyBorder="1"/>
    <xf numFmtId="0" fontId="60" fillId="0" borderId="33" xfId="136" applyFont="1" applyBorder="1"/>
    <xf numFmtId="0" fontId="61" fillId="0" borderId="0" xfId="136" applyFont="1" applyAlignment="1">
      <alignment wrapText="1"/>
    </xf>
    <xf numFmtId="43" fontId="0" fillId="21" borderId="64" xfId="137" applyFont="1" applyFill="1" applyBorder="1"/>
    <xf numFmtId="43" fontId="17" fillId="17" borderId="10" xfId="137" applyFont="1" applyFill="1" applyBorder="1"/>
    <xf numFmtId="43" fontId="1" fillId="17" borderId="10" xfId="136" applyNumberFormat="1" applyFill="1" applyBorder="1"/>
    <xf numFmtId="0" fontId="1" fillId="17" borderId="25" xfId="136" applyFill="1" applyBorder="1"/>
    <xf numFmtId="165" fontId="0" fillId="17" borderId="10" xfId="137" applyNumberFormat="1" applyFont="1" applyFill="1" applyBorder="1"/>
    <xf numFmtId="165" fontId="1" fillId="17" borderId="16" xfId="136" applyNumberFormat="1" applyFill="1" applyBorder="1"/>
    <xf numFmtId="165" fontId="1" fillId="17" borderId="28" xfId="136" applyNumberFormat="1" applyFill="1" applyBorder="1"/>
    <xf numFmtId="165" fontId="1" fillId="25" borderId="16" xfId="136" applyNumberFormat="1" applyFill="1" applyBorder="1"/>
    <xf numFmtId="165" fontId="1" fillId="25" borderId="10" xfId="136" applyNumberFormat="1" applyFill="1" applyBorder="1"/>
    <xf numFmtId="165" fontId="1" fillId="17" borderId="10" xfId="136" applyNumberFormat="1" applyFill="1" applyBorder="1"/>
    <xf numFmtId="165" fontId="0" fillId="22" borderId="10" xfId="137" applyNumberFormat="1" applyFont="1" applyFill="1" applyBorder="1"/>
    <xf numFmtId="165" fontId="0" fillId="22" borderId="32" xfId="137" applyNumberFormat="1" applyFont="1" applyFill="1" applyBorder="1"/>
    <xf numFmtId="43" fontId="0" fillId="17" borderId="28" xfId="137" applyFont="1" applyFill="1" applyBorder="1"/>
    <xf numFmtId="43" fontId="0" fillId="17" borderId="10" xfId="137" applyFont="1" applyFill="1" applyBorder="1" applyAlignment="1">
      <alignment wrapText="1"/>
    </xf>
    <xf numFmtId="43" fontId="0" fillId="17" borderId="10" xfId="137" applyFont="1" applyFill="1" applyBorder="1"/>
    <xf numFmtId="43" fontId="0" fillId="17" borderId="32" xfId="137" applyFont="1" applyFill="1" applyBorder="1"/>
    <xf numFmtId="0" fontId="1" fillId="17" borderId="16" xfId="136" applyFill="1" applyBorder="1"/>
    <xf numFmtId="0" fontId="1" fillId="17" borderId="10" xfId="136" applyFill="1" applyBorder="1"/>
    <xf numFmtId="43" fontId="1" fillId="22" borderId="10" xfId="136" applyNumberFormat="1" applyFill="1" applyBorder="1"/>
    <xf numFmtId="165" fontId="1" fillId="22" borderId="10" xfId="136" applyNumberFormat="1" applyFill="1" applyBorder="1"/>
    <xf numFmtId="165" fontId="0" fillId="17" borderId="32" xfId="137" applyNumberFormat="1" applyFont="1" applyFill="1" applyBorder="1"/>
    <xf numFmtId="43" fontId="0" fillId="22" borderId="10" xfId="137" applyFont="1" applyFill="1" applyBorder="1"/>
    <xf numFmtId="165" fontId="0" fillId="11" borderId="32" xfId="137" applyNumberFormat="1" applyFont="1" applyFill="1" applyBorder="1"/>
    <xf numFmtId="43" fontId="0" fillId="14" borderId="28" xfId="137" applyFont="1" applyFill="1" applyBorder="1"/>
    <xf numFmtId="43" fontId="0" fillId="14" borderId="10" xfId="137" applyFont="1" applyFill="1" applyBorder="1" applyAlignment="1">
      <alignment wrapText="1"/>
    </xf>
    <xf numFmtId="43" fontId="0" fillId="14" borderId="10" xfId="137" applyFont="1" applyFill="1" applyBorder="1"/>
    <xf numFmtId="0" fontId="1" fillId="15" borderId="25" xfId="136" applyFill="1" applyBorder="1"/>
    <xf numFmtId="165" fontId="0" fillId="15" borderId="10" xfId="137" applyNumberFormat="1" applyFont="1" applyFill="1" applyBorder="1"/>
    <xf numFmtId="165" fontId="1" fillId="15" borderId="16" xfId="136" applyNumberFormat="1" applyFill="1" applyBorder="1"/>
    <xf numFmtId="165" fontId="1" fillId="15" borderId="28" xfId="136" applyNumberFormat="1" applyFill="1" applyBorder="1"/>
    <xf numFmtId="165" fontId="1" fillId="15" borderId="10" xfId="136" applyNumberFormat="1" applyFill="1" applyBorder="1"/>
    <xf numFmtId="43" fontId="0" fillId="15" borderId="10" xfId="137" applyFont="1" applyFill="1" applyBorder="1"/>
    <xf numFmtId="43" fontId="0" fillId="15" borderId="36" xfId="137" applyFont="1" applyFill="1" applyBorder="1"/>
    <xf numFmtId="0" fontId="1" fillId="15" borderId="16" xfId="136" applyFill="1" applyBorder="1"/>
    <xf numFmtId="0" fontId="1" fillId="15" borderId="10" xfId="136" applyFill="1" applyBorder="1"/>
    <xf numFmtId="0" fontId="1" fillId="14" borderId="0" xfId="136" applyFill="1" applyAlignment="1">
      <alignment wrapText="1"/>
    </xf>
    <xf numFmtId="0" fontId="1" fillId="0" borderId="25" xfId="136" applyBorder="1"/>
    <xf numFmtId="165" fontId="0" fillId="0" borderId="26" xfId="137" applyNumberFormat="1" applyFont="1" applyBorder="1"/>
    <xf numFmtId="165" fontId="1" fillId="0" borderId="21" xfId="136" applyNumberFormat="1" applyBorder="1"/>
    <xf numFmtId="165" fontId="1" fillId="0" borderId="31" xfId="136" applyNumberFormat="1" applyBorder="1"/>
    <xf numFmtId="165" fontId="1" fillId="25" borderId="21" xfId="136" applyNumberFormat="1" applyFill="1" applyBorder="1"/>
    <xf numFmtId="165" fontId="1" fillId="25" borderId="26" xfId="136" applyNumberFormat="1" applyFill="1" applyBorder="1"/>
    <xf numFmtId="165" fontId="1" fillId="0" borderId="26" xfId="136" applyNumberFormat="1" applyBorder="1"/>
    <xf numFmtId="165" fontId="1" fillId="22" borderId="26" xfId="136" applyNumberFormat="1" applyFill="1" applyBorder="1"/>
    <xf numFmtId="165" fontId="0" fillId="0" borderId="27" xfId="137" applyNumberFormat="1" applyFont="1" applyBorder="1"/>
    <xf numFmtId="43" fontId="0" fillId="21" borderId="70" xfId="137" applyFont="1" applyFill="1" applyBorder="1"/>
    <xf numFmtId="43" fontId="0" fillId="0" borderId="31" xfId="137" applyFont="1" applyBorder="1"/>
    <xf numFmtId="43" fontId="0" fillId="0" borderId="26" xfId="137" applyFont="1" applyBorder="1" applyAlignment="1">
      <alignment wrapText="1"/>
    </xf>
    <xf numFmtId="43" fontId="0" fillId="22" borderId="26" xfId="137" applyFont="1" applyFill="1" applyBorder="1"/>
    <xf numFmtId="43" fontId="0" fillId="0" borderId="26" xfId="137" applyFont="1" applyBorder="1"/>
    <xf numFmtId="43" fontId="0" fillId="0" borderId="32" xfId="137" applyFont="1" applyBorder="1"/>
    <xf numFmtId="0" fontId="1" fillId="0" borderId="16" xfId="136" applyBorder="1"/>
    <xf numFmtId="0" fontId="1" fillId="0" borderId="10" xfId="136" applyBorder="1"/>
    <xf numFmtId="165" fontId="0" fillId="17" borderId="26" xfId="137" applyNumberFormat="1" applyFont="1" applyFill="1" applyBorder="1"/>
    <xf numFmtId="165" fontId="1" fillId="17" borderId="21" xfId="136" applyNumberFormat="1" applyFill="1" applyBorder="1"/>
    <xf numFmtId="165" fontId="1" fillId="17" borderId="31" xfId="136" applyNumberFormat="1" applyFill="1" applyBorder="1"/>
    <xf numFmtId="165" fontId="1" fillId="17" borderId="26" xfId="136" applyNumberFormat="1" applyFill="1" applyBorder="1"/>
    <xf numFmtId="165" fontId="0" fillId="17" borderId="27" xfId="137" applyNumberFormat="1" applyFont="1" applyFill="1" applyBorder="1"/>
    <xf numFmtId="43" fontId="0" fillId="17" borderId="31" xfId="137" applyFont="1" applyFill="1" applyBorder="1"/>
    <xf numFmtId="43" fontId="0" fillId="17" borderId="26" xfId="137" applyFont="1" applyFill="1" applyBorder="1" applyAlignment="1">
      <alignment wrapText="1"/>
    </xf>
    <xf numFmtId="43" fontId="0" fillId="17" borderId="26" xfId="137" applyFont="1" applyFill="1" applyBorder="1"/>
    <xf numFmtId="165" fontId="0" fillId="15" borderId="32" xfId="137" applyNumberFormat="1" applyFont="1" applyFill="1" applyBorder="1"/>
    <xf numFmtId="43" fontId="0" fillId="15" borderId="28" xfId="137" applyFont="1" applyFill="1" applyBorder="1"/>
    <xf numFmtId="43" fontId="0" fillId="15" borderId="10" xfId="137" applyFont="1" applyFill="1" applyBorder="1" applyAlignment="1">
      <alignment wrapText="1"/>
    </xf>
    <xf numFmtId="0" fontId="1" fillId="0" borderId="28" xfId="136" applyBorder="1"/>
    <xf numFmtId="6" fontId="1" fillId="0" borderId="10" xfId="136" applyNumberFormat="1" applyBorder="1"/>
    <xf numFmtId="6" fontId="1" fillId="0" borderId="32" xfId="136" applyNumberFormat="1" applyBorder="1"/>
    <xf numFmtId="0" fontId="1" fillId="21" borderId="64" xfId="136" applyFill="1" applyBorder="1"/>
    <xf numFmtId="0" fontId="1" fillId="0" borderId="10" xfId="136" applyBorder="1" applyAlignment="1">
      <alignment wrapText="1"/>
    </xf>
    <xf numFmtId="0" fontId="38" fillId="0" borderId="0" xfId="136" applyFont="1"/>
    <xf numFmtId="0" fontId="38" fillId="0" borderId="10" xfId="136" applyFont="1" applyBorder="1" applyAlignment="1">
      <alignment wrapText="1"/>
    </xf>
    <xf numFmtId="0" fontId="38" fillId="0" borderId="25" xfId="136" applyFont="1" applyBorder="1"/>
    <xf numFmtId="0" fontId="38" fillId="0" borderId="9" xfId="136" applyFont="1" applyBorder="1" applyAlignment="1">
      <alignment wrapText="1"/>
    </xf>
    <xf numFmtId="0" fontId="38" fillId="0" borderId="103" xfId="136" applyFont="1" applyBorder="1"/>
    <xf numFmtId="0" fontId="38" fillId="0" borderId="82" xfId="136" applyFont="1" applyBorder="1"/>
    <xf numFmtId="0" fontId="38" fillId="0" borderId="103" xfId="136" applyFont="1" applyBorder="1" applyAlignment="1">
      <alignment wrapText="1"/>
    </xf>
    <xf numFmtId="0" fontId="38" fillId="0" borderId="9" xfId="136" applyFont="1" applyBorder="1"/>
    <xf numFmtId="0" fontId="38" fillId="0" borderId="57" xfId="136" applyFont="1" applyBorder="1" applyAlignment="1">
      <alignment wrapText="1"/>
    </xf>
    <xf numFmtId="0" fontId="38" fillId="21" borderId="64" xfId="136" applyFont="1" applyFill="1" applyBorder="1"/>
    <xf numFmtId="0" fontId="38" fillId="0" borderId="28" xfId="136" applyFont="1" applyBorder="1"/>
    <xf numFmtId="0" fontId="38" fillId="0" borderId="10" xfId="136" applyFont="1" applyBorder="1" applyAlignment="1">
      <alignment horizontal="center" wrapText="1"/>
    </xf>
    <xf numFmtId="0" fontId="38" fillId="0" borderId="63" xfId="136" applyFont="1" applyBorder="1"/>
    <xf numFmtId="0" fontId="38" fillId="14" borderId="63" xfId="136" applyFont="1" applyFill="1" applyBorder="1"/>
    <xf numFmtId="0" fontId="38" fillId="14" borderId="10" xfId="136" applyFont="1" applyFill="1" applyBorder="1" applyAlignment="1">
      <alignment wrapText="1"/>
    </xf>
    <xf numFmtId="43" fontId="38" fillId="0" borderId="32" xfId="137" applyFont="1" applyBorder="1" applyAlignment="1">
      <alignment horizontal="center" wrapText="1"/>
    </xf>
    <xf numFmtId="0" fontId="38" fillId="0" borderId="16" xfId="136" applyFont="1" applyBorder="1"/>
    <xf numFmtId="0" fontId="38" fillId="0" borderId="10" xfId="136" applyFont="1" applyBorder="1"/>
    <xf numFmtId="0" fontId="38" fillId="0" borderId="0" xfId="136" applyFont="1" applyAlignment="1">
      <alignment wrapText="1"/>
    </xf>
    <xf numFmtId="0" fontId="1" fillId="0" borderId="55" xfId="136" applyBorder="1"/>
    <xf numFmtId="0" fontId="1" fillId="0" borderId="8" xfId="136" applyBorder="1" applyAlignment="1">
      <alignment horizontal="center"/>
    </xf>
    <xf numFmtId="0" fontId="1" fillId="21" borderId="0" xfId="136" applyFill="1"/>
    <xf numFmtId="0" fontId="1" fillId="0" borderId="2" xfId="136" applyBorder="1"/>
    <xf numFmtId="0" fontId="1" fillId="0" borderId="24" xfId="136" applyBorder="1" applyAlignment="1">
      <alignment wrapText="1"/>
    </xf>
    <xf numFmtId="43" fontId="0" fillId="0" borderId="1" xfId="137" applyFont="1" applyBorder="1"/>
    <xf numFmtId="0" fontId="59" fillId="0" borderId="0" xfId="136" applyFont="1" applyAlignment="1">
      <alignment horizontal="center" wrapText="1"/>
    </xf>
    <xf numFmtId="0" fontId="60" fillId="0" borderId="7" xfId="136" applyFont="1" applyBorder="1"/>
    <xf numFmtId="0" fontId="60" fillId="0" borderId="12" xfId="136" applyFont="1" applyBorder="1"/>
    <xf numFmtId="0" fontId="60" fillId="0" borderId="6" xfId="136" applyFont="1" applyBorder="1"/>
    <xf numFmtId="2" fontId="0" fillId="0" borderId="0" xfId="49" applyNumberFormat="1" applyFont="1" applyAlignment="1">
      <alignment horizontal="center" vertical="center"/>
    </xf>
    <xf numFmtId="2" fontId="0" fillId="0" borderId="0" xfId="49" applyNumberFormat="1" applyFont="1" applyAlignment="1">
      <alignment horizontal="center" vertical="center" wrapText="1"/>
    </xf>
    <xf numFmtId="2" fontId="8" fillId="6" borderId="10" xfId="49" applyNumberFormat="1" applyFont="1" applyFill="1" applyBorder="1" applyAlignment="1">
      <alignment horizontal="center" vertical="center" wrapText="1"/>
    </xf>
    <xf numFmtId="2" fontId="62" fillId="10" borderId="10" xfId="49" applyNumberFormat="1" applyFont="1" applyFill="1" applyBorder="1" applyAlignment="1">
      <alignment horizontal="right" wrapText="1"/>
    </xf>
    <xf numFmtId="2" fontId="17" fillId="23" borderId="10" xfId="49" applyNumberFormat="1" applyFont="1" applyFill="1" applyBorder="1" applyAlignment="1" applyProtection="1">
      <alignment horizontal="right"/>
    </xf>
    <xf numFmtId="0" fontId="0" fillId="26" borderId="0" xfId="0" applyFill="1" applyAlignment="1">
      <alignment horizontal="center" vertical="center"/>
    </xf>
    <xf numFmtId="0" fontId="0" fillId="26" borderId="0" xfId="0" applyFill="1" applyAlignment="1">
      <alignment horizontal="center" vertical="center" wrapText="1"/>
    </xf>
    <xf numFmtId="0" fontId="0" fillId="26" borderId="0" xfId="0" applyFill="1" applyAlignment="1">
      <alignment vertical="center" wrapText="1"/>
    </xf>
    <xf numFmtId="0" fontId="8" fillId="26" borderId="10" xfId="0" applyFont="1" applyFill="1" applyBorder="1" applyAlignment="1">
      <alignment horizontal="center" vertical="center" wrapText="1"/>
    </xf>
    <xf numFmtId="164" fontId="62" fillId="26" borderId="10" xfId="0" applyNumberFormat="1" applyFont="1" applyFill="1" applyBorder="1" applyAlignment="1">
      <alignment horizontal="right" wrapText="1"/>
    </xf>
    <xf numFmtId="165" fontId="17" fillId="26" borderId="10" xfId="2" applyNumberFormat="1" applyFont="1" applyFill="1" applyBorder="1" applyAlignment="1" applyProtection="1">
      <alignment horizontal="right"/>
    </xf>
    <xf numFmtId="3" fontId="0" fillId="26" borderId="0" xfId="0" applyNumberFormat="1" applyFill="1" applyAlignment="1">
      <alignment horizontal="center" vertical="center"/>
    </xf>
    <xf numFmtId="43" fontId="0" fillId="0" borderId="0" xfId="48" applyFont="1" applyAlignment="1">
      <alignment vertical="center"/>
    </xf>
    <xf numFmtId="43" fontId="0" fillId="0" borderId="0" xfId="48" applyFont="1" applyAlignment="1">
      <alignment horizontal="center" vertical="center"/>
    </xf>
    <xf numFmtId="43" fontId="0" fillId="0" borderId="0" xfId="48" applyFont="1" applyAlignment="1">
      <alignment vertical="center" wrapText="1"/>
    </xf>
    <xf numFmtId="0" fontId="0" fillId="13" borderId="0" xfId="0" applyFill="1" applyAlignment="1">
      <alignment vertical="center"/>
    </xf>
    <xf numFmtId="165" fontId="0" fillId="13" borderId="0" xfId="0" applyNumberFormat="1" applyFill="1" applyAlignment="1">
      <alignment vertical="center"/>
    </xf>
    <xf numFmtId="0" fontId="0" fillId="0" borderId="0" xfId="0" applyAlignment="1">
      <alignment horizontal="left"/>
    </xf>
    <xf numFmtId="164" fontId="0" fillId="13" borderId="0" xfId="0" applyNumberFormat="1" applyFill="1"/>
    <xf numFmtId="0" fontId="68" fillId="4" borderId="0" xfId="47" applyFont="1" applyFill="1" applyAlignment="1">
      <alignment horizontal="center" vertical="center"/>
    </xf>
    <xf numFmtId="165" fontId="68" fillId="4" borderId="0" xfId="47" applyNumberFormat="1" applyFont="1" applyFill="1" applyAlignment="1">
      <alignment horizontal="center" vertical="center"/>
    </xf>
    <xf numFmtId="0" fontId="69" fillId="4" borderId="0" xfId="47" applyFont="1" applyFill="1" applyAlignment="1">
      <alignment horizontal="left" vertical="center"/>
    </xf>
    <xf numFmtId="0" fontId="69" fillId="4" borderId="0" xfId="47" applyFont="1" applyFill="1" applyAlignment="1">
      <alignment horizontal="center" vertical="center"/>
    </xf>
    <xf numFmtId="0" fontId="70" fillId="4" borderId="0" xfId="23" applyFont="1" applyFill="1" applyAlignment="1">
      <alignment horizontal="left" vertical="center"/>
    </xf>
    <xf numFmtId="0" fontId="69" fillId="4" borderId="0" xfId="47" applyFont="1" applyFill="1" applyAlignment="1">
      <alignment horizontal="left" vertical="center" wrapText="1"/>
    </xf>
    <xf numFmtId="0" fontId="69" fillId="4" borderId="0" xfId="47" applyFont="1" applyFill="1" applyAlignment="1">
      <alignment horizontal="center" vertical="center" wrapText="1"/>
    </xf>
    <xf numFmtId="3" fontId="69" fillId="4" borderId="0" xfId="47" applyNumberFormat="1" applyFont="1" applyFill="1" applyAlignment="1">
      <alignment horizontal="center" vertical="center"/>
    </xf>
    <xf numFmtId="164" fontId="69" fillId="4" borderId="0" xfId="47" applyNumberFormat="1" applyFont="1" applyFill="1" applyAlignment="1">
      <alignment horizontal="center" vertical="center"/>
    </xf>
    <xf numFmtId="0" fontId="69" fillId="4" borderId="0" xfId="0" applyFont="1" applyFill="1"/>
    <xf numFmtId="0" fontId="69" fillId="4" borderId="0" xfId="0" applyFont="1" applyFill="1" applyAlignment="1">
      <alignment horizontal="center"/>
    </xf>
    <xf numFmtId="0" fontId="69" fillId="0" borderId="0" xfId="0" applyFont="1"/>
    <xf numFmtId="0" fontId="69" fillId="0" borderId="0" xfId="0" applyFont="1" applyAlignment="1">
      <alignment horizontal="center"/>
    </xf>
    <xf numFmtId="3" fontId="69" fillId="4" borderId="0" xfId="47" applyNumberFormat="1" applyFont="1" applyFill="1" applyAlignment="1">
      <alignment horizontal="left" vertical="center"/>
    </xf>
    <xf numFmtId="0" fontId="71" fillId="4" borderId="0" xfId="23" applyFont="1" applyFill="1" applyAlignment="1">
      <alignment horizontal="left" vertical="center" wrapText="1"/>
    </xf>
    <xf numFmtId="0" fontId="71" fillId="4" borderId="0" xfId="23" applyFont="1" applyFill="1" applyAlignment="1">
      <alignment horizontal="left" vertical="center"/>
    </xf>
    <xf numFmtId="165" fontId="71" fillId="4" borderId="0" xfId="23" applyNumberFormat="1" applyFont="1" applyFill="1" applyAlignment="1">
      <alignment horizontal="left" vertical="center" wrapText="1"/>
    </xf>
    <xf numFmtId="164" fontId="70" fillId="4" borderId="0" xfId="23" applyNumberFormat="1" applyFont="1" applyFill="1" applyAlignment="1">
      <alignment horizontal="left" vertical="center"/>
    </xf>
    <xf numFmtId="165" fontId="70" fillId="4" borderId="0" xfId="23" applyNumberFormat="1" applyFont="1" applyFill="1" applyAlignment="1">
      <alignment horizontal="left" vertical="center"/>
    </xf>
    <xf numFmtId="0" fontId="69" fillId="4" borderId="0" xfId="0" applyFont="1" applyFill="1" applyAlignment="1">
      <alignment horizontal="left"/>
    </xf>
    <xf numFmtId="171" fontId="69" fillId="4" borderId="0" xfId="0" applyNumberFormat="1" applyFont="1" applyFill="1" applyAlignment="1">
      <alignment horizontal="left"/>
    </xf>
    <xf numFmtId="164" fontId="69" fillId="4" borderId="0" xfId="0" applyNumberFormat="1" applyFont="1" applyFill="1" applyAlignment="1">
      <alignment horizontal="left"/>
    </xf>
    <xf numFmtId="0" fontId="9" fillId="6" borderId="33" xfId="23" applyFont="1" applyFill="1" applyBorder="1" applyAlignment="1">
      <alignment horizontal="left" vertical="center" wrapText="1"/>
    </xf>
    <xf numFmtId="0" fontId="9" fillId="6" borderId="48" xfId="23" applyFont="1" applyFill="1" applyBorder="1" applyAlignment="1">
      <alignment horizontal="left" vertical="center" wrapText="1"/>
    </xf>
    <xf numFmtId="0" fontId="11" fillId="0" borderId="6" xfId="47" quotePrefix="1" applyFont="1" applyBorder="1" applyAlignment="1">
      <alignment horizontal="left" vertical="center"/>
    </xf>
    <xf numFmtId="0" fontId="11" fillId="0" borderId="7" xfId="47" applyFont="1" applyBorder="1" applyAlignment="1">
      <alignment horizontal="left" vertical="center"/>
    </xf>
    <xf numFmtId="0" fontId="11" fillId="0" borderId="12" xfId="47" applyFont="1" applyBorder="1" applyAlignment="1">
      <alignment horizontal="left" vertical="center"/>
    </xf>
    <xf numFmtId="17" fontId="9" fillId="6" borderId="62" xfId="23" applyNumberFormat="1" applyFont="1" applyFill="1" applyBorder="1" applyAlignment="1">
      <alignment horizontal="center" vertical="center" wrapText="1"/>
    </xf>
    <xf numFmtId="17" fontId="9" fillId="6" borderId="24" xfId="23" applyNumberFormat="1" applyFont="1" applyFill="1" applyBorder="1" applyAlignment="1">
      <alignment horizontal="center" vertical="center" wrapText="1"/>
    </xf>
    <xf numFmtId="17" fontId="9" fillId="6" borderId="2" xfId="23" applyNumberFormat="1" applyFont="1" applyFill="1" applyBorder="1" applyAlignment="1">
      <alignment horizontal="center" vertical="center" wrapText="1"/>
    </xf>
    <xf numFmtId="3" fontId="11" fillId="16" borderId="62" xfId="23" applyNumberFormat="1" applyFont="1" applyFill="1" applyBorder="1" applyAlignment="1">
      <alignment horizontal="center" vertical="center"/>
    </xf>
    <xf numFmtId="3" fontId="11" fillId="16" borderId="24" xfId="23" applyNumberFormat="1" applyFont="1" applyFill="1" applyBorder="1" applyAlignment="1">
      <alignment horizontal="center" vertical="center"/>
    </xf>
    <xf numFmtId="3" fontId="11" fillId="16" borderId="2" xfId="23" applyNumberFormat="1" applyFont="1" applyFill="1" applyBorder="1" applyAlignment="1">
      <alignment horizontal="center" vertical="center"/>
    </xf>
    <xf numFmtId="3" fontId="11" fillId="16" borderId="15" xfId="23" applyNumberFormat="1" applyFont="1" applyFill="1" applyBorder="1" applyAlignment="1">
      <alignment horizontal="center" vertical="center"/>
    </xf>
    <xf numFmtId="3" fontId="11" fillId="16" borderId="0" xfId="23" applyNumberFormat="1" applyFont="1" applyFill="1" applyAlignment="1">
      <alignment horizontal="center" vertical="center"/>
    </xf>
    <xf numFmtId="3" fontId="11" fillId="16" borderId="55" xfId="23" applyNumberFormat="1" applyFont="1" applyFill="1" applyBorder="1" applyAlignment="1">
      <alignment horizontal="center" vertical="center"/>
    </xf>
    <xf numFmtId="3" fontId="11" fillId="16" borderId="74" xfId="23" applyNumberFormat="1" applyFont="1" applyFill="1" applyBorder="1" applyAlignment="1">
      <alignment horizontal="center" vertical="center"/>
    </xf>
    <xf numFmtId="3" fontId="11" fillId="16" borderId="11" xfId="23" applyNumberFormat="1" applyFont="1" applyFill="1" applyBorder="1" applyAlignment="1">
      <alignment horizontal="center" vertical="center"/>
    </xf>
    <xf numFmtId="3" fontId="11" fillId="16" borderId="5" xfId="23" applyNumberFormat="1" applyFont="1" applyFill="1" applyBorder="1" applyAlignment="1">
      <alignment horizontal="center" vertical="center"/>
    </xf>
    <xf numFmtId="0" fontId="11" fillId="0" borderId="76" xfId="23" applyFont="1" applyBorder="1" applyAlignment="1">
      <alignment horizontal="left" vertical="center"/>
    </xf>
    <xf numFmtId="0" fontId="11" fillId="0" borderId="73" xfId="23" applyFont="1" applyBorder="1" applyAlignment="1">
      <alignment horizontal="left" vertical="center"/>
    </xf>
    <xf numFmtId="0" fontId="11" fillId="0" borderId="36" xfId="23" applyFont="1" applyBorder="1" applyAlignment="1">
      <alignment horizontal="left" vertical="center"/>
    </xf>
    <xf numFmtId="0" fontId="11" fillId="0" borderId="25" xfId="23" applyFont="1" applyBorder="1" applyAlignment="1">
      <alignment horizontal="left" vertical="center"/>
    </xf>
    <xf numFmtId="0" fontId="11" fillId="0" borderId="60" xfId="23" applyFont="1" applyBorder="1" applyAlignment="1">
      <alignment horizontal="left" vertical="center"/>
    </xf>
    <xf numFmtId="0" fontId="11" fillId="0" borderId="59" xfId="23" applyFont="1" applyBorder="1" applyAlignment="1">
      <alignment horizontal="left" vertical="center"/>
    </xf>
    <xf numFmtId="0" fontId="9" fillId="6" borderId="6" xfId="23" applyFont="1" applyFill="1" applyBorder="1" applyAlignment="1">
      <alignment horizontal="left" vertical="center" wrapText="1"/>
    </xf>
    <xf numFmtId="0" fontId="9" fillId="6" borderId="35" xfId="23" applyFont="1" applyFill="1" applyBorder="1" applyAlignment="1">
      <alignment horizontal="left" vertical="center" wrapText="1"/>
    </xf>
    <xf numFmtId="0" fontId="11" fillId="0" borderId="49" xfId="23" applyFont="1" applyBorder="1" applyAlignment="1">
      <alignment horizontal="left" vertical="center"/>
    </xf>
    <xf numFmtId="0" fontId="11" fillId="0" borderId="75" xfId="23" applyFont="1" applyBorder="1" applyAlignment="1">
      <alignment horizontal="left" vertical="center"/>
    </xf>
    <xf numFmtId="0" fontId="9" fillId="16" borderId="34" xfId="23" applyFont="1" applyFill="1" applyBorder="1" applyAlignment="1">
      <alignment horizontal="center" vertical="center" wrapText="1"/>
    </xf>
    <xf numFmtId="0" fontId="9" fillId="16" borderId="7" xfId="23" applyFont="1" applyFill="1" applyBorder="1" applyAlignment="1">
      <alignment horizontal="center" vertical="center" wrapText="1"/>
    </xf>
    <xf numFmtId="0" fontId="9" fillId="16" borderId="12" xfId="23" applyFont="1" applyFill="1" applyBorder="1" applyAlignment="1">
      <alignment horizontal="center" vertical="center" wrapText="1"/>
    </xf>
    <xf numFmtId="0" fontId="45" fillId="0" borderId="40" xfId="133" applyBorder="1" applyAlignment="1">
      <alignment horizontal="left" vertical="center" wrapText="1"/>
    </xf>
    <xf numFmtId="0" fontId="45" fillId="0" borderId="13" xfId="133" applyBorder="1" applyAlignment="1">
      <alignment horizontal="left" vertical="center" wrapText="1"/>
    </xf>
    <xf numFmtId="0" fontId="45" fillId="0" borderId="51" xfId="133" applyBorder="1" applyAlignment="1">
      <alignment horizontal="left" vertical="center" wrapText="1"/>
    </xf>
    <xf numFmtId="0" fontId="9" fillId="2" borderId="1" xfId="23" applyFont="1" applyFill="1" applyBorder="1" applyAlignment="1">
      <alignment horizontal="left" vertical="center" wrapText="1"/>
    </xf>
    <xf numFmtId="0" fontId="9" fillId="2" borderId="24" xfId="23" applyFont="1" applyFill="1" applyBorder="1" applyAlignment="1">
      <alignment horizontal="left" vertical="center" wrapText="1"/>
    </xf>
    <xf numFmtId="0" fontId="9" fillId="2" borderId="2" xfId="23" applyFont="1" applyFill="1" applyBorder="1" applyAlignment="1">
      <alignment horizontal="left" vertical="center" wrapText="1"/>
    </xf>
    <xf numFmtId="0" fontId="9" fillId="2" borderId="4" xfId="23" applyFont="1" applyFill="1" applyBorder="1" applyAlignment="1">
      <alignment horizontal="left" vertical="center" wrapText="1"/>
    </xf>
    <xf numFmtId="0" fontId="9" fillId="2" borderId="11" xfId="23" applyFont="1" applyFill="1" applyBorder="1" applyAlignment="1">
      <alignment horizontal="left" vertical="center" wrapText="1"/>
    </xf>
    <xf numFmtId="0" fontId="9" fillId="2" borderId="5" xfId="23" applyFont="1" applyFill="1" applyBorder="1" applyAlignment="1">
      <alignment horizontal="left" vertical="center" wrapText="1"/>
    </xf>
    <xf numFmtId="0" fontId="9" fillId="2" borderId="40" xfId="23" applyFont="1" applyFill="1" applyBorder="1" applyAlignment="1">
      <alignment horizontal="center" vertical="center" wrapText="1"/>
    </xf>
    <xf numFmtId="0" fontId="9" fillId="2" borderId="51" xfId="23" applyFont="1" applyFill="1" applyBorder="1" applyAlignment="1">
      <alignment horizontal="center" vertical="center" wrapText="1"/>
    </xf>
    <xf numFmtId="0" fontId="9" fillId="6" borderId="6" xfId="23" applyFont="1" applyFill="1" applyBorder="1" applyAlignment="1">
      <alignment horizontal="left" vertical="center"/>
    </xf>
    <xf numFmtId="0" fontId="9" fillId="6" borderId="7" xfId="23" applyFont="1" applyFill="1" applyBorder="1" applyAlignment="1">
      <alignment horizontal="left" vertical="center"/>
    </xf>
    <xf numFmtId="0" fontId="9" fillId="6" borderId="12" xfId="23" applyFont="1" applyFill="1" applyBorder="1" applyAlignment="1">
      <alignment horizontal="left" vertical="center"/>
    </xf>
    <xf numFmtId="0" fontId="9" fillId="4" borderId="0" xfId="47" applyFont="1" applyFill="1" applyAlignment="1">
      <alignment horizontal="left" vertical="center"/>
    </xf>
    <xf numFmtId="0" fontId="9" fillId="0" borderId="6" xfId="47" quotePrefix="1" applyFont="1" applyBorder="1" applyAlignment="1">
      <alignment horizontal="left" vertical="center"/>
    </xf>
    <xf numFmtId="0" fontId="9" fillId="0" borderId="7" xfId="47" applyFont="1" applyBorder="1" applyAlignment="1">
      <alignment horizontal="left" vertical="center"/>
    </xf>
    <xf numFmtId="0" fontId="9" fillId="0" borderId="12" xfId="47" applyFont="1" applyBorder="1" applyAlignment="1">
      <alignment horizontal="left" vertical="center"/>
    </xf>
    <xf numFmtId="0" fontId="9" fillId="14" borderId="6" xfId="23" applyFont="1" applyFill="1" applyBorder="1" applyAlignment="1" applyProtection="1">
      <alignment horizontal="left" vertical="center"/>
      <protection locked="0"/>
    </xf>
    <xf numFmtId="0" fontId="9" fillId="14" borderId="7" xfId="23" applyFont="1" applyFill="1" applyBorder="1" applyAlignment="1" applyProtection="1">
      <alignment horizontal="left" vertical="center"/>
      <protection locked="0"/>
    </xf>
    <xf numFmtId="0" fontId="9" fillId="14" borderId="12" xfId="23" applyFont="1" applyFill="1" applyBorder="1" applyAlignment="1" applyProtection="1">
      <alignment horizontal="left" vertical="center"/>
      <protection locked="0"/>
    </xf>
    <xf numFmtId="0" fontId="9" fillId="2" borderId="3" xfId="23" applyFont="1" applyFill="1" applyBorder="1" applyAlignment="1">
      <alignment horizontal="left" vertical="center" wrapText="1"/>
    </xf>
    <xf numFmtId="0" fontId="9" fillId="2" borderId="0" xfId="23" applyFont="1" applyFill="1" applyAlignment="1">
      <alignment horizontal="left" vertical="center" wrapText="1"/>
    </xf>
    <xf numFmtId="0" fontId="9" fillId="2" borderId="55" xfId="23" applyFont="1" applyFill="1" applyBorder="1" applyAlignment="1">
      <alignment horizontal="left" vertical="center" wrapText="1"/>
    </xf>
    <xf numFmtId="0" fontId="9" fillId="18" borderId="78" xfId="23" applyFont="1" applyFill="1" applyBorder="1" applyAlignment="1" applyProtection="1">
      <alignment horizontal="left" vertical="center"/>
      <protection locked="0"/>
    </xf>
    <xf numFmtId="0" fontId="9" fillId="18" borderId="79" xfId="23" applyFont="1" applyFill="1" applyBorder="1" applyAlignment="1" applyProtection="1">
      <alignment horizontal="left" vertical="center"/>
      <protection locked="0"/>
    </xf>
    <xf numFmtId="0" fontId="9" fillId="18" borderId="80" xfId="23" applyFont="1" applyFill="1" applyBorder="1" applyAlignment="1" applyProtection="1">
      <alignment horizontal="left" vertical="center"/>
      <protection locked="0"/>
    </xf>
    <xf numFmtId="165" fontId="10" fillId="6" borderId="26" xfId="47" applyNumberFormat="1" applyFont="1" applyFill="1" applyBorder="1" applyAlignment="1">
      <alignment horizontal="center" vertical="center"/>
    </xf>
    <xf numFmtId="0" fontId="9" fillId="0" borderId="27" xfId="47" applyFont="1" applyBorder="1" applyAlignment="1">
      <alignment horizontal="left" vertical="center" wrapText="1"/>
    </xf>
    <xf numFmtId="0" fontId="9" fillId="0" borderId="29" xfId="47" applyFont="1" applyBorder="1" applyAlignment="1">
      <alignment horizontal="left" vertical="center" wrapText="1"/>
    </xf>
    <xf numFmtId="0" fontId="9" fillId="0" borderId="30" xfId="47" applyFont="1" applyBorder="1" applyAlignment="1">
      <alignment horizontal="left" vertical="center" wrapText="1"/>
    </xf>
    <xf numFmtId="164" fontId="11" fillId="6" borderId="16" xfId="47" applyNumberFormat="1" applyFont="1" applyFill="1" applyBorder="1" applyAlignment="1">
      <alignment horizontal="center" vertical="center"/>
    </xf>
    <xf numFmtId="164" fontId="11" fillId="6" borderId="64" xfId="47" applyNumberFormat="1" applyFont="1" applyFill="1" applyBorder="1" applyAlignment="1">
      <alignment horizontal="center" vertical="center"/>
    </xf>
    <xf numFmtId="164" fontId="11" fillId="6" borderId="25" xfId="47" applyNumberFormat="1" applyFont="1" applyFill="1" applyBorder="1" applyAlignment="1">
      <alignment horizontal="center" vertical="center"/>
    </xf>
    <xf numFmtId="0" fontId="10" fillId="7" borderId="40" xfId="47" applyFont="1" applyFill="1" applyBorder="1" applyAlignment="1">
      <alignment horizontal="center" vertical="center"/>
    </xf>
    <xf numFmtId="0" fontId="10" fillId="7" borderId="51" xfId="47" applyFont="1" applyFill="1" applyBorder="1" applyAlignment="1">
      <alignment horizontal="center" vertical="center"/>
    </xf>
    <xf numFmtId="165" fontId="11" fillId="6" borderId="16" xfId="47" applyNumberFormat="1" applyFont="1" applyFill="1" applyBorder="1" applyAlignment="1">
      <alignment horizontal="center" vertical="center"/>
    </xf>
    <xf numFmtId="165" fontId="11" fillId="6" borderId="25" xfId="47" applyNumberFormat="1" applyFont="1" applyFill="1" applyBorder="1" applyAlignment="1">
      <alignment horizontal="center" vertical="center"/>
    </xf>
    <xf numFmtId="165" fontId="11" fillId="6" borderId="10" xfId="47" applyNumberFormat="1" applyFont="1" applyFill="1" applyBorder="1" applyAlignment="1">
      <alignment horizontal="center" vertical="center"/>
    </xf>
    <xf numFmtId="0" fontId="12" fillId="4" borderId="3" xfId="1" applyFill="1" applyBorder="1" applyAlignment="1">
      <alignment horizontal="left" vertical="center" wrapText="1"/>
    </xf>
    <xf numFmtId="0" fontId="12" fillId="4" borderId="0" xfId="1" applyFill="1" applyAlignment="1">
      <alignment horizontal="left" vertical="center" wrapText="1"/>
    </xf>
    <xf numFmtId="0" fontId="12" fillId="4" borderId="55" xfId="1" applyFill="1" applyBorder="1" applyAlignment="1">
      <alignment horizontal="left" vertical="center" wrapText="1"/>
    </xf>
    <xf numFmtId="0" fontId="9" fillId="0" borderId="27" xfId="47" applyFont="1" applyBorder="1" applyAlignment="1">
      <alignment horizontal="left" vertical="center"/>
    </xf>
    <xf numFmtId="0" fontId="9" fillId="0" borderId="29" xfId="47" applyFont="1" applyBorder="1" applyAlignment="1">
      <alignment horizontal="left" vertical="center"/>
    </xf>
    <xf numFmtId="0" fontId="9" fillId="0" borderId="30" xfId="47" applyFont="1" applyBorder="1" applyAlignment="1">
      <alignment horizontal="left" vertical="center"/>
    </xf>
    <xf numFmtId="165" fontId="10" fillId="6" borderId="14" xfId="47" applyNumberFormat="1" applyFont="1" applyFill="1" applyBorder="1" applyAlignment="1">
      <alignment horizontal="center" vertical="center"/>
    </xf>
    <xf numFmtId="165" fontId="10" fillId="6" borderId="72" xfId="47" applyNumberFormat="1" applyFont="1" applyFill="1" applyBorder="1" applyAlignment="1">
      <alignment horizontal="center" vertical="center"/>
    </xf>
    <xf numFmtId="165" fontId="10" fillId="6" borderId="73" xfId="47" applyNumberFormat="1" applyFont="1" applyFill="1" applyBorder="1" applyAlignment="1">
      <alignment horizontal="center" vertical="center"/>
    </xf>
    <xf numFmtId="0" fontId="9" fillId="4" borderId="1" xfId="47" applyFont="1" applyFill="1" applyBorder="1" applyAlignment="1">
      <alignment horizontal="left" vertical="center"/>
    </xf>
    <xf numFmtId="0" fontId="9" fillId="4" borderId="24" xfId="47" applyFont="1" applyFill="1" applyBorder="1" applyAlignment="1">
      <alignment horizontal="left" vertical="center"/>
    </xf>
    <xf numFmtId="0" fontId="9" fillId="4" borderId="2" xfId="47" applyFont="1" applyFill="1" applyBorder="1" applyAlignment="1">
      <alignment horizontal="left" vertical="center"/>
    </xf>
    <xf numFmtId="0" fontId="9" fillId="6" borderId="6" xfId="47" applyFont="1" applyFill="1" applyBorder="1" applyAlignment="1">
      <alignment horizontal="center" vertical="center"/>
    </xf>
    <xf numFmtId="0" fontId="9" fillId="6" borderId="7" xfId="47" applyFont="1" applyFill="1" applyBorder="1" applyAlignment="1">
      <alignment horizontal="center" vertical="center"/>
    </xf>
    <xf numFmtId="0" fontId="9" fillId="6" borderId="12" xfId="47" applyFont="1" applyFill="1" applyBorder="1" applyAlignment="1">
      <alignment horizontal="center" vertical="center"/>
    </xf>
    <xf numFmtId="165" fontId="10" fillId="4" borderId="0" xfId="47" applyNumberFormat="1" applyFont="1" applyFill="1" applyAlignment="1">
      <alignment horizontal="left" vertical="center"/>
    </xf>
    <xf numFmtId="0" fontId="48" fillId="6" borderId="6" xfId="47" applyFont="1" applyFill="1" applyBorder="1" applyAlignment="1">
      <alignment horizontal="left" vertical="center" wrapText="1"/>
    </xf>
    <xf numFmtId="0" fontId="48" fillId="6" borderId="7" xfId="47" applyFont="1" applyFill="1" applyBorder="1" applyAlignment="1">
      <alignment horizontal="left" vertical="center" wrapText="1"/>
    </xf>
    <xf numFmtId="0" fontId="48" fillId="6" borderId="12" xfId="47" applyFont="1" applyFill="1" applyBorder="1" applyAlignment="1">
      <alignment horizontal="left" vertical="center" wrapText="1"/>
    </xf>
    <xf numFmtId="0" fontId="9" fillId="6" borderId="1" xfId="47" applyFont="1" applyFill="1" applyBorder="1" applyAlignment="1">
      <alignment horizontal="left" vertical="center"/>
    </xf>
    <xf numFmtId="0" fontId="9" fillId="6" borderId="24" xfId="47" applyFont="1" applyFill="1" applyBorder="1" applyAlignment="1">
      <alignment horizontal="left" vertical="center"/>
    </xf>
    <xf numFmtId="0" fontId="9" fillId="6" borderId="65" xfId="47" applyFont="1" applyFill="1" applyBorder="1" applyAlignment="1">
      <alignment horizontal="left" vertical="center"/>
    </xf>
    <xf numFmtId="0" fontId="9" fillId="6" borderId="2" xfId="47" applyFont="1" applyFill="1" applyBorder="1" applyAlignment="1">
      <alignment horizontal="left" vertical="center"/>
    </xf>
    <xf numFmtId="164" fontId="47" fillId="6" borderId="6" xfId="1" applyNumberFormat="1" applyFont="1" applyFill="1" applyBorder="1" applyAlignment="1">
      <alignment horizontal="center" vertical="center"/>
    </xf>
    <xf numFmtId="164" fontId="47" fillId="6" borderId="12" xfId="1" applyNumberFormat="1" applyFont="1" applyFill="1" applyBorder="1" applyAlignment="1">
      <alignment horizontal="center" vertical="center"/>
    </xf>
    <xf numFmtId="164" fontId="47" fillId="4" borderId="68" xfId="47" applyNumberFormat="1" applyFont="1" applyFill="1" applyBorder="1" applyAlignment="1">
      <alignment horizontal="center" vertical="center"/>
    </xf>
    <xf numFmtId="164" fontId="47" fillId="4" borderId="69" xfId="47" applyNumberFormat="1" applyFont="1" applyFill="1" applyBorder="1" applyAlignment="1">
      <alignment horizontal="center" vertical="center"/>
    </xf>
    <xf numFmtId="0" fontId="8" fillId="0" borderId="104" xfId="0" applyFont="1" applyBorder="1" applyAlignment="1">
      <alignment horizontal="center"/>
    </xf>
    <xf numFmtId="0" fontId="8" fillId="0" borderId="41"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12" xfId="0" applyFont="1" applyBorder="1" applyAlignment="1">
      <alignment horizontal="center"/>
    </xf>
    <xf numFmtId="0" fontId="8" fillId="0" borderId="6" xfId="0" applyFont="1" applyBorder="1" applyAlignment="1">
      <alignment horizontal="center" wrapText="1"/>
    </xf>
    <xf numFmtId="0" fontId="8" fillId="0" borderId="12" xfId="0" applyFont="1" applyBorder="1" applyAlignment="1">
      <alignment horizontal="center" wrapText="1"/>
    </xf>
    <xf numFmtId="0" fontId="59" fillId="0" borderId="0" xfId="136" applyFont="1" applyAlignment="1">
      <alignment horizontal="center" wrapText="1"/>
    </xf>
    <xf numFmtId="0" fontId="60" fillId="0" borderId="6" xfId="136" applyFont="1" applyBorder="1" applyAlignment="1">
      <alignment horizontal="center"/>
    </xf>
    <xf numFmtId="0" fontId="38" fillId="0" borderId="6" xfId="136" applyFont="1" applyBorder="1" applyAlignment="1">
      <alignment horizontal="center"/>
    </xf>
    <xf numFmtId="0" fontId="1" fillId="0" borderId="3" xfId="136" applyBorder="1" applyAlignment="1">
      <alignment horizont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0" fontId="38" fillId="0" borderId="6" xfId="0" applyFont="1" applyBorder="1" applyAlignment="1">
      <alignment horizontal="center"/>
    </xf>
    <xf numFmtId="0" fontId="38" fillId="0" borderId="7" xfId="0" applyFont="1" applyBorder="1" applyAlignment="1">
      <alignment horizontal="center"/>
    </xf>
    <xf numFmtId="0" fontId="38" fillId="0" borderId="12" xfId="0" applyFont="1" applyBorder="1" applyAlignment="1">
      <alignment horizontal="center"/>
    </xf>
    <xf numFmtId="0" fontId="38" fillId="0" borderId="1" xfId="0" applyFont="1" applyBorder="1" applyAlignment="1">
      <alignment horizontal="center"/>
    </xf>
    <xf numFmtId="0" fontId="38" fillId="0" borderId="24" xfId="0" applyFont="1" applyBorder="1" applyAlignment="1">
      <alignment horizontal="center"/>
    </xf>
    <xf numFmtId="0" fontId="38" fillId="0" borderId="2" xfId="0" applyFont="1" applyBorder="1" applyAlignment="1">
      <alignment horizontal="center"/>
    </xf>
    <xf numFmtId="164" fontId="66" fillId="0" borderId="0" xfId="1" applyNumberFormat="1" applyFont="1" applyAlignment="1">
      <alignment horizontal="center" vertical="center"/>
    </xf>
    <xf numFmtId="164" fontId="65" fillId="0" borderId="0" xfId="0" applyNumberFormat="1" applyFont="1" applyAlignment="1">
      <alignment horizontal="center" vertical="center"/>
    </xf>
    <xf numFmtId="0" fontId="65" fillId="0" borderId="0" xfId="0" applyFont="1" applyAlignment="1">
      <alignment horizontal="center" vertical="center"/>
    </xf>
  </cellXfs>
  <cellStyles count="138">
    <cellStyle name="%" xfId="11" xr:uid="{00000000-0005-0000-0000-000000000000}"/>
    <cellStyle name="% 2" xfId="60" xr:uid="{00000000-0005-0000-0000-000001000000}"/>
    <cellStyle name="]_x000d__x000a_Zoomed=1_x000d__x000a_Row=0_x000d__x000a_Column=0_x000d__x000a_Height=0_x000d__x000a_Width=0_x000d__x000a_FontName=FoxFont_x000d__x000a_FontStyle=0_x000d__x000a_FontSize=9_x000d__x000a_PrtFontName=FoxPrin" xfId="3" xr:uid="{00000000-0005-0000-0000-000002000000}"/>
    <cellStyle name="Comma" xfId="48" builtinId="3"/>
    <cellStyle name="Comma 2" xfId="12" xr:uid="{00000000-0005-0000-0000-000004000000}"/>
    <cellStyle name="Comma 2 2" xfId="61" xr:uid="{00000000-0005-0000-0000-000005000000}"/>
    <cellStyle name="Comma 2 3" xfId="53" xr:uid="{00000000-0005-0000-0000-000006000000}"/>
    <cellStyle name="Comma 3" xfId="13" xr:uid="{00000000-0005-0000-0000-000007000000}"/>
    <cellStyle name="Comma 3 2" xfId="62" xr:uid="{00000000-0005-0000-0000-000008000000}"/>
    <cellStyle name="Comma 3 3" xfId="54" xr:uid="{00000000-0005-0000-0000-000009000000}"/>
    <cellStyle name="Comma 4" xfId="14" xr:uid="{00000000-0005-0000-0000-00000A000000}"/>
    <cellStyle name="Comma 5" xfId="52" xr:uid="{00000000-0005-0000-0000-00000B000000}"/>
    <cellStyle name="Comma 6" xfId="79" xr:uid="{00000000-0005-0000-0000-00000C000000}"/>
    <cellStyle name="Comma 7" xfId="130" xr:uid="{15075FFA-976A-4A56-9C12-0B9A2B6D45F3}"/>
    <cellStyle name="Comma 8" xfId="135" xr:uid="{9415DCAF-3A32-4DBB-85B3-2A7AE3D22F22}"/>
    <cellStyle name="Comma 9" xfId="137" xr:uid="{FDFC967E-0B4F-47A8-8FD5-D85FBB9E9F9E}"/>
    <cellStyle name="Currency" xfId="132" builtinId="4"/>
    <cellStyle name="Currency 2" xfId="15" xr:uid="{00000000-0005-0000-0000-00000E000000}"/>
    <cellStyle name="Currency 2 2" xfId="63" xr:uid="{00000000-0005-0000-0000-00000F000000}"/>
    <cellStyle name="Currency 2 3" xfId="56" xr:uid="{00000000-0005-0000-0000-000010000000}"/>
    <cellStyle name="Currency 3" xfId="16" xr:uid="{00000000-0005-0000-0000-000011000000}"/>
    <cellStyle name="Currency 3 2" xfId="64" xr:uid="{00000000-0005-0000-0000-000012000000}"/>
    <cellStyle name="Currency 3 3" xfId="57" xr:uid="{00000000-0005-0000-0000-000013000000}"/>
    <cellStyle name="Currency 4" xfId="17" xr:uid="{00000000-0005-0000-0000-000014000000}"/>
    <cellStyle name="Currency 5" xfId="55" xr:uid="{00000000-0005-0000-0000-000015000000}"/>
    <cellStyle name="Estimated" xfId="18" xr:uid="{00000000-0005-0000-0000-000016000000}"/>
    <cellStyle name="external input" xfId="19" xr:uid="{00000000-0005-0000-0000-000017000000}"/>
    <cellStyle name="Header" xfId="4" xr:uid="{00000000-0005-0000-0000-000018000000}"/>
    <cellStyle name="HeaderGrant" xfId="5" xr:uid="{00000000-0005-0000-0000-000019000000}"/>
    <cellStyle name="HeaderGrant 2" xfId="80" xr:uid="{00000000-0005-0000-0000-00001A000000}"/>
    <cellStyle name="HeaderGrant 3" xfId="81" xr:uid="{00000000-0005-0000-0000-00001B000000}"/>
    <cellStyle name="HeaderLEA" xfId="6" xr:uid="{00000000-0005-0000-0000-00001C000000}"/>
    <cellStyle name="Hyperlink" xfId="133" builtinId="8"/>
    <cellStyle name="Hyperlink 2" xfId="58" xr:uid="{00000000-0005-0000-0000-00001D000000}"/>
    <cellStyle name="Imported" xfId="20" xr:uid="{00000000-0005-0000-0000-00001E000000}"/>
    <cellStyle name="LEAName" xfId="7" xr:uid="{00000000-0005-0000-0000-00001F000000}"/>
    <cellStyle name="LEANumber" xfId="8" xr:uid="{00000000-0005-0000-0000-000020000000}"/>
    <cellStyle name="log projection" xfId="21" xr:uid="{00000000-0005-0000-0000-000021000000}"/>
    <cellStyle name="log projection 2" xfId="82" xr:uid="{00000000-0005-0000-0000-000022000000}"/>
    <cellStyle name="log projection 2 2" xfId="83" xr:uid="{00000000-0005-0000-0000-000023000000}"/>
    <cellStyle name="log projection 2 2 2" xfId="84" xr:uid="{00000000-0005-0000-0000-000024000000}"/>
    <cellStyle name="log projection 2 2 3" xfId="85" xr:uid="{00000000-0005-0000-0000-000025000000}"/>
    <cellStyle name="log projection 2 3" xfId="86" xr:uid="{00000000-0005-0000-0000-000026000000}"/>
    <cellStyle name="log projection 2 3 2" xfId="87" xr:uid="{00000000-0005-0000-0000-000027000000}"/>
    <cellStyle name="log projection 2 3 3" xfId="88" xr:uid="{00000000-0005-0000-0000-000028000000}"/>
    <cellStyle name="log projection 2 4" xfId="89" xr:uid="{00000000-0005-0000-0000-000029000000}"/>
    <cellStyle name="log projection 2 4 2" xfId="90" xr:uid="{00000000-0005-0000-0000-00002A000000}"/>
    <cellStyle name="log projection 2 4 3" xfId="91" xr:uid="{00000000-0005-0000-0000-00002B000000}"/>
    <cellStyle name="log projection 2 5" xfId="92" xr:uid="{00000000-0005-0000-0000-00002C000000}"/>
    <cellStyle name="log projection 3" xfId="93" xr:uid="{00000000-0005-0000-0000-00002D000000}"/>
    <cellStyle name="log projection 3 2" xfId="94" xr:uid="{00000000-0005-0000-0000-00002E000000}"/>
    <cellStyle name="log projection 3 2 2" xfId="95" xr:uid="{00000000-0005-0000-0000-00002F000000}"/>
    <cellStyle name="log projection 3 2 3" xfId="96" xr:uid="{00000000-0005-0000-0000-000030000000}"/>
    <cellStyle name="log projection 3 3" xfId="97" xr:uid="{00000000-0005-0000-0000-000031000000}"/>
    <cellStyle name="log projection 3 3 2" xfId="98" xr:uid="{00000000-0005-0000-0000-000032000000}"/>
    <cellStyle name="log projection 3 3 3" xfId="99" xr:uid="{00000000-0005-0000-0000-000033000000}"/>
    <cellStyle name="log projection 3 4" xfId="100" xr:uid="{00000000-0005-0000-0000-000034000000}"/>
    <cellStyle name="log projection 3 4 2" xfId="101" xr:uid="{00000000-0005-0000-0000-000035000000}"/>
    <cellStyle name="log projection 3 4 3" xfId="102" xr:uid="{00000000-0005-0000-0000-000036000000}"/>
    <cellStyle name="log projection 3 5" xfId="103" xr:uid="{00000000-0005-0000-0000-000037000000}"/>
    <cellStyle name="log projection 4" xfId="104" xr:uid="{00000000-0005-0000-0000-000038000000}"/>
    <cellStyle name="log projection 4 2" xfId="105" xr:uid="{00000000-0005-0000-0000-000039000000}"/>
    <cellStyle name="log projection 4 2 2" xfId="106" xr:uid="{00000000-0005-0000-0000-00003A000000}"/>
    <cellStyle name="log projection 4 2 3" xfId="107" xr:uid="{00000000-0005-0000-0000-00003B000000}"/>
    <cellStyle name="log projection 4 3" xfId="108" xr:uid="{00000000-0005-0000-0000-00003C000000}"/>
    <cellStyle name="log projection 4 3 2" xfId="109" xr:uid="{00000000-0005-0000-0000-00003D000000}"/>
    <cellStyle name="log projection 4 3 3" xfId="110" xr:uid="{00000000-0005-0000-0000-00003E000000}"/>
    <cellStyle name="log projection 4 4" xfId="111" xr:uid="{00000000-0005-0000-0000-00003F000000}"/>
    <cellStyle name="log projection 4 4 2" xfId="112" xr:uid="{00000000-0005-0000-0000-000040000000}"/>
    <cellStyle name="log projection 4 5" xfId="113" xr:uid="{00000000-0005-0000-0000-000041000000}"/>
    <cellStyle name="Normal" xfId="0" builtinId="0"/>
    <cellStyle name="Normal 10" xfId="73" xr:uid="{00000000-0005-0000-0000-000043000000}"/>
    <cellStyle name="Normal 10 2" xfId="114" xr:uid="{00000000-0005-0000-0000-000044000000}"/>
    <cellStyle name="Normal 11" xfId="75" xr:uid="{00000000-0005-0000-0000-000045000000}"/>
    <cellStyle name="Normal 11 2" xfId="115" xr:uid="{00000000-0005-0000-0000-000046000000}"/>
    <cellStyle name="Normal 11 2 10" xfId="76" xr:uid="{00000000-0005-0000-0000-000047000000}"/>
    <cellStyle name="Normal 12" xfId="78" xr:uid="{00000000-0005-0000-0000-000048000000}"/>
    <cellStyle name="Normal 12 2" xfId="116" xr:uid="{00000000-0005-0000-0000-000049000000}"/>
    <cellStyle name="Normal 13" xfId="74" xr:uid="{00000000-0005-0000-0000-00004A000000}"/>
    <cellStyle name="Normal 13 2" xfId="117" xr:uid="{00000000-0005-0000-0000-00004B000000}"/>
    <cellStyle name="Normal 14" xfId="118" xr:uid="{00000000-0005-0000-0000-00004C000000}"/>
    <cellStyle name="Normal 15" xfId="123" xr:uid="{76F586C5-B318-4E8B-9EEC-5CBBFAB30E7B}"/>
    <cellStyle name="Normal 15 2" xfId="126" xr:uid="{34AEB44B-E229-438E-A4E5-4A0E69D47B7A}"/>
    <cellStyle name="Normal 16" xfId="124" xr:uid="{90E091CC-8F0D-4032-895C-6636AE7F1186}"/>
    <cellStyle name="Normal 17" xfId="125" xr:uid="{475D1F4F-9EB5-42C8-9178-AFECFEB8A0F7}"/>
    <cellStyle name="Normal 18" xfId="129" xr:uid="{6DA4065F-01A4-422C-8A1C-8D11585B94AB}"/>
    <cellStyle name="Normal 19" xfId="134" xr:uid="{F435DBF0-B682-421B-A31E-28BD649259E7}"/>
    <cellStyle name="Normal 2" xfId="1" xr:uid="{00000000-0005-0000-0000-00004D000000}"/>
    <cellStyle name="Normal 2 2" xfId="22" xr:uid="{00000000-0005-0000-0000-00004E000000}"/>
    <cellStyle name="Normal 2 2 2" xfId="40" xr:uid="{00000000-0005-0000-0000-00004F000000}"/>
    <cellStyle name="Normal 2 3" xfId="65" xr:uid="{00000000-0005-0000-0000-000050000000}"/>
    <cellStyle name="Normal 2 4" xfId="71" xr:uid="{00000000-0005-0000-0000-000051000000}"/>
    <cellStyle name="Normal 2 5" xfId="70" xr:uid="{00000000-0005-0000-0000-000052000000}"/>
    <cellStyle name="Normal 2 6" xfId="127" xr:uid="{1694C39B-AE08-4890-8A86-B8F043E6E306}"/>
    <cellStyle name="Normal 20" xfId="136" xr:uid="{0EF5E9CF-6230-41B2-84EB-40AF0D5A6228}"/>
    <cellStyle name="Normal 3" xfId="23" xr:uid="{00000000-0005-0000-0000-000053000000}"/>
    <cellStyle name="Normal 3 2" xfId="35" xr:uid="{00000000-0005-0000-0000-000054000000}"/>
    <cellStyle name="Normal 3 2 2" xfId="42" xr:uid="{00000000-0005-0000-0000-000055000000}"/>
    <cellStyle name="Normal 3 2 2 2" xfId="66" xr:uid="{00000000-0005-0000-0000-000056000000}"/>
    <cellStyle name="Normal 3 3" xfId="77" xr:uid="{00000000-0005-0000-0000-000057000000}"/>
    <cellStyle name="Normal 3 4" xfId="128" xr:uid="{B7FB6F9A-162E-440B-AEC7-B38CBB3B0563}"/>
    <cellStyle name="Normal 4" xfId="24" xr:uid="{00000000-0005-0000-0000-000058000000}"/>
    <cellStyle name="Normal 4 2" xfId="34" xr:uid="{00000000-0005-0000-0000-000059000000}"/>
    <cellStyle name="Normal 4 2 2" xfId="41" xr:uid="{00000000-0005-0000-0000-00005A000000}"/>
    <cellStyle name="Normal 4 3" xfId="59" xr:uid="{00000000-0005-0000-0000-00005B000000}"/>
    <cellStyle name="Normal 5" xfId="36" xr:uid="{00000000-0005-0000-0000-00005C000000}"/>
    <cellStyle name="Normal 5 2" xfId="38" xr:uid="{00000000-0005-0000-0000-00005D000000}"/>
    <cellStyle name="Normal 5 2 2" xfId="44" xr:uid="{00000000-0005-0000-0000-00005E000000}"/>
    <cellStyle name="Normal 6" xfId="37" xr:uid="{00000000-0005-0000-0000-00005F000000}"/>
    <cellStyle name="Normal 6 2" xfId="46" xr:uid="{00000000-0005-0000-0000-000060000000}"/>
    <cellStyle name="Normal 6 3" xfId="47" xr:uid="{00000000-0005-0000-0000-000061000000}"/>
    <cellStyle name="Normal 7" xfId="39" xr:uid="{00000000-0005-0000-0000-000062000000}"/>
    <cellStyle name="Normal 7 2" xfId="43" xr:uid="{00000000-0005-0000-0000-000063000000}"/>
    <cellStyle name="Normal 8" xfId="45" xr:uid="{00000000-0005-0000-0000-000064000000}"/>
    <cellStyle name="Normal 8 2" xfId="50" xr:uid="{00000000-0005-0000-0000-000065000000}"/>
    <cellStyle name="Normal 8 3" xfId="69" xr:uid="{00000000-0005-0000-0000-000066000000}"/>
    <cellStyle name="Normal 9" xfId="51" xr:uid="{00000000-0005-0000-0000-000067000000}"/>
    <cellStyle name="Normal 9 2" xfId="72" xr:uid="{00000000-0005-0000-0000-000068000000}"/>
    <cellStyle name="Note 2" xfId="119" xr:uid="{00000000-0005-0000-0000-00006E000000}"/>
    <cellStyle name="Note 3" xfId="120" xr:uid="{00000000-0005-0000-0000-00006F000000}"/>
    <cellStyle name="Number" xfId="9" xr:uid="{00000000-0005-0000-0000-000070000000}"/>
    <cellStyle name="Percent" xfId="49" builtinId="5"/>
    <cellStyle name="Percent 2" xfId="2" xr:uid="{00000000-0005-0000-0000-000072000000}"/>
    <cellStyle name="Percent 2 2" xfId="10" xr:uid="{00000000-0005-0000-0000-000073000000}"/>
    <cellStyle name="Percent 2 2 2" xfId="68" xr:uid="{00000000-0005-0000-0000-000074000000}"/>
    <cellStyle name="Percent 2 3" xfId="67" xr:uid="{00000000-0005-0000-0000-000075000000}"/>
    <cellStyle name="Percent 3" xfId="25" xr:uid="{00000000-0005-0000-0000-000076000000}"/>
    <cellStyle name="Percent 4" xfId="121" xr:uid="{00000000-0005-0000-0000-000077000000}"/>
    <cellStyle name="Percent 5" xfId="122" xr:uid="{00000000-0005-0000-0000-000078000000}"/>
    <cellStyle name="Percent 6" xfId="131" xr:uid="{B90CA3D7-CDA5-409F-857F-5EE4701F11BC}"/>
    <cellStyle name="provisional PN158/97" xfId="26" xr:uid="{00000000-0005-0000-0000-000079000000}"/>
    <cellStyle name="Style 1" xfId="27" xr:uid="{00000000-0005-0000-0000-00007A000000}"/>
    <cellStyle name="sub" xfId="28" xr:uid="{00000000-0005-0000-0000-00007B000000}"/>
    <cellStyle name="table imported" xfId="29" xr:uid="{00000000-0005-0000-0000-00007C000000}"/>
    <cellStyle name="table sum" xfId="30" xr:uid="{00000000-0005-0000-0000-00007D000000}"/>
    <cellStyle name="table values" xfId="31" xr:uid="{00000000-0005-0000-0000-00007E000000}"/>
    <cellStyle name="u5shares" xfId="32" xr:uid="{00000000-0005-0000-0000-00007F000000}"/>
    <cellStyle name="Variable assumptions" xfId="33" xr:uid="{00000000-0005-0000-0000-000080000000}"/>
  </cellStyles>
  <dxfs count="37">
    <dxf>
      <fill>
        <patternFill patternType="darkGray">
          <fgColor theme="1" tint="0.34998626667073579"/>
        </patternFill>
      </fill>
    </dxf>
    <dxf>
      <fill>
        <patternFill patternType="darkGray">
          <fgColor theme="1" tint="0.34998626667073579"/>
        </patternFill>
      </fill>
    </dxf>
    <dxf>
      <fill>
        <patternFill patternType="darkGray">
          <fgColor theme="1" tint="0.34998626667073579"/>
        </patternFill>
      </fill>
    </dxf>
    <dxf>
      <fill>
        <patternFill patternType="darkGray">
          <fgColor theme="1" tint="0.34998626667073579"/>
        </patternFill>
      </fill>
    </dxf>
    <dxf>
      <fill>
        <patternFill patternType="darkGray">
          <fgColor theme="1" tint="0.34998626667073579"/>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ont>
        <b/>
        <i val="0"/>
        <condense val="0"/>
        <extend val="0"/>
        <color indexed="17"/>
      </font>
      <fill>
        <patternFill>
          <bgColor indexed="44"/>
        </patternFill>
      </fill>
    </dxf>
    <dxf>
      <font>
        <b/>
        <i val="0"/>
        <condense val="0"/>
        <extend val="0"/>
        <color indexed="48"/>
      </font>
      <fill>
        <patternFill>
          <bgColor indexed="43"/>
        </patternFill>
      </fill>
    </dxf>
    <dxf>
      <font>
        <b/>
        <i val="0"/>
        <condense val="0"/>
        <extend val="0"/>
        <color indexed="10"/>
      </font>
      <fill>
        <patternFill>
          <bgColor indexed="43"/>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9D9D7"/>
      <color rgb="FFFFFF99"/>
      <color rgb="FFFFFFCC"/>
      <color rgb="FFFFFF66"/>
      <color rgb="FFCCFFFF"/>
      <color rgb="FFE8F37B"/>
      <color rgb="FFCD9FC4"/>
      <color rgb="FF66FFFF"/>
      <color rgb="FFC3A9BF"/>
      <color rgb="FF72E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ERS new'!A1"/><Relationship Id="rId2" Type="http://schemas.openxmlformats.org/officeDocument/2006/relationships/hyperlink" Target="#Schools_Block_Budget_Detail_2024_25"/><Relationship Id="rId1" Type="http://schemas.openxmlformats.org/officeDocument/2006/relationships/image" Target="../media/image1.jpeg"/><Relationship Id="rId4" Type="http://schemas.openxmlformats.org/officeDocument/2006/relationships/hyperlink" Target="#Early_Years_Budget_Detail_2024_25"/></Relationships>
</file>

<file path=xl/drawings/_rels/drawing3.xml.rels><?xml version="1.0" encoding="UTF-8" standalone="yes"?>
<Relationships xmlns="http://schemas.openxmlformats.org/package/2006/relationships"><Relationship Id="rId2" Type="http://schemas.openxmlformats.org/officeDocument/2006/relationships/hyperlink" Target="#Main_Summary"/><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Main_Summary"/><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6</xdr:col>
      <xdr:colOff>167974</xdr:colOff>
      <xdr:row>0</xdr:row>
      <xdr:rowOff>64406</xdr:rowOff>
    </xdr:from>
    <xdr:ext cx="2258294" cy="1353912"/>
    <xdr:pic>
      <xdr:nvPicPr>
        <xdr:cNvPr id="2" name="Picture 5" descr="This is the official Derby City Council logo, featuring the ram facing towards the right and the words 'Derby City Council' below this.">
          <a:extLst>
            <a:ext uri="{FF2B5EF4-FFF2-40B4-BE49-F238E27FC236}">
              <a16:creationId xmlns:a16="http://schemas.microsoft.com/office/drawing/2014/main" id="{633473C8-9C9E-4948-BCE0-581B82C24E64}"/>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11489117" y="64406"/>
          <a:ext cx="2258294" cy="135391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xdr:from>
      <xdr:col>4</xdr:col>
      <xdr:colOff>309563</xdr:colOff>
      <xdr:row>12</xdr:row>
      <xdr:rowOff>202407</xdr:rowOff>
    </xdr:from>
    <xdr:to>
      <xdr:col>4</xdr:col>
      <xdr:colOff>571498</xdr:colOff>
      <xdr:row>12</xdr:row>
      <xdr:rowOff>392905</xdr:rowOff>
    </xdr:to>
    <xdr:sp macro="" textlink="">
      <xdr:nvSpPr>
        <xdr:cNvPr id="5" name="Arrow: Down 4">
          <a:extLst>
            <a:ext uri="{FF2B5EF4-FFF2-40B4-BE49-F238E27FC236}">
              <a16:creationId xmlns:a16="http://schemas.microsoft.com/office/drawing/2014/main" id="{C5914C59-B8AE-4B19-9B1F-88B41AA3CEDB}"/>
            </a:ext>
          </a:extLst>
        </xdr:cNvPr>
        <xdr:cNvSpPr/>
      </xdr:nvSpPr>
      <xdr:spPr>
        <a:xfrm rot="5400000">
          <a:off x="8608220" y="3250407"/>
          <a:ext cx="190498" cy="261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2989342</xdr:colOff>
      <xdr:row>0</xdr:row>
      <xdr:rowOff>74082</xdr:rowOff>
    </xdr:from>
    <xdr:ext cx="2185907" cy="1386419"/>
    <xdr:pic>
      <xdr:nvPicPr>
        <xdr:cNvPr id="2" name="Picture 5" descr="This is the official Derby City Council logo, featuring the ram facing towards the right and the words 'Derby City Council' below this.">
          <a:extLst>
            <a:ext uri="{FF2B5EF4-FFF2-40B4-BE49-F238E27FC236}">
              <a16:creationId xmlns:a16="http://schemas.microsoft.com/office/drawing/2014/main" id="{0FC14E2A-4281-46F7-B13C-9BFB2FF19EC7}"/>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10027259" y="74082"/>
          <a:ext cx="2185907" cy="1386419"/>
        </a:xfrm>
        <a:prstGeom prst="rect">
          <a:avLst/>
        </a:prstGeom>
        <a:noFill/>
        <a:ln w="9525">
          <a:noFill/>
          <a:miter lim="800000"/>
          <a:headEnd/>
          <a:tailEnd/>
        </a:ln>
      </xdr:spPr>
    </xdr:pic>
    <xdr:clientData/>
  </xdr:oneCellAnchor>
  <xdr:twoCellAnchor>
    <xdr:from>
      <xdr:col>3</xdr:col>
      <xdr:colOff>904866</xdr:colOff>
      <xdr:row>15</xdr:row>
      <xdr:rowOff>28575</xdr:rowOff>
    </xdr:from>
    <xdr:to>
      <xdr:col>3</xdr:col>
      <xdr:colOff>2976552</xdr:colOff>
      <xdr:row>15</xdr:row>
      <xdr:rowOff>444030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FC3D6C1C-99FC-1C63-B60A-5CA0CF31759A}"/>
            </a:ext>
          </a:extLst>
        </xdr:cNvPr>
        <xdr:cNvSpPr/>
      </xdr:nvSpPr>
      <xdr:spPr>
        <a:xfrm>
          <a:off x="7227085" y="3648075"/>
          <a:ext cx="2071686" cy="415455"/>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rPr>
            <a:t>Schools Block</a:t>
          </a:r>
        </a:p>
      </xdr:txBody>
    </xdr:sp>
    <xdr:clientData/>
  </xdr:twoCellAnchor>
  <xdr:twoCellAnchor>
    <xdr:from>
      <xdr:col>3</xdr:col>
      <xdr:colOff>904865</xdr:colOff>
      <xdr:row>16</xdr:row>
      <xdr:rowOff>47624</xdr:rowOff>
    </xdr:from>
    <xdr:to>
      <xdr:col>3</xdr:col>
      <xdr:colOff>2988459</xdr:colOff>
      <xdr:row>16</xdr:row>
      <xdr:rowOff>464343</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DEFBA864-2168-4218-9037-380F2FDB2E7D}"/>
            </a:ext>
          </a:extLst>
        </xdr:cNvPr>
        <xdr:cNvSpPr/>
      </xdr:nvSpPr>
      <xdr:spPr>
        <a:xfrm>
          <a:off x="7429490" y="4167187"/>
          <a:ext cx="2083594" cy="416719"/>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rPr>
            <a:t>ERS</a:t>
          </a:r>
        </a:p>
      </xdr:txBody>
    </xdr:sp>
    <xdr:clientData/>
  </xdr:twoCellAnchor>
  <xdr:twoCellAnchor>
    <xdr:from>
      <xdr:col>3</xdr:col>
      <xdr:colOff>914390</xdr:colOff>
      <xdr:row>17</xdr:row>
      <xdr:rowOff>69056</xdr:rowOff>
    </xdr:from>
    <xdr:to>
      <xdr:col>3</xdr:col>
      <xdr:colOff>2997984</xdr:colOff>
      <xdr:row>17</xdr:row>
      <xdr:rowOff>488156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6DFAFF7E-01DD-5283-E2A6-C14AC8705D1C}"/>
            </a:ext>
          </a:extLst>
        </xdr:cNvPr>
        <xdr:cNvSpPr/>
      </xdr:nvSpPr>
      <xdr:spPr>
        <a:xfrm>
          <a:off x="7439015" y="4688681"/>
          <a:ext cx="2083594" cy="419100"/>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rPr>
            <a:t>Early Years</a:t>
          </a:r>
        </a:p>
      </xdr:txBody>
    </xdr:sp>
    <xdr:clientData/>
  </xdr:twoCellAnchor>
  <xdr:twoCellAnchor>
    <xdr:from>
      <xdr:col>4</xdr:col>
      <xdr:colOff>273846</xdr:colOff>
      <xdr:row>11</xdr:row>
      <xdr:rowOff>226222</xdr:rowOff>
    </xdr:from>
    <xdr:to>
      <xdr:col>4</xdr:col>
      <xdr:colOff>535781</xdr:colOff>
      <xdr:row>11</xdr:row>
      <xdr:rowOff>416720</xdr:rowOff>
    </xdr:to>
    <xdr:sp macro="" textlink="">
      <xdr:nvSpPr>
        <xdr:cNvPr id="10" name="Arrow: Down 9">
          <a:extLst>
            <a:ext uri="{FF2B5EF4-FFF2-40B4-BE49-F238E27FC236}">
              <a16:creationId xmlns:a16="http://schemas.microsoft.com/office/drawing/2014/main" id="{E0561AFA-0F69-7448-45E0-6EC18DF7905E}"/>
            </a:ext>
          </a:extLst>
        </xdr:cNvPr>
        <xdr:cNvSpPr/>
      </xdr:nvSpPr>
      <xdr:spPr>
        <a:xfrm rot="5400000">
          <a:off x="10810878" y="2857503"/>
          <a:ext cx="190498" cy="261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1857382</xdr:colOff>
      <xdr:row>14</xdr:row>
      <xdr:rowOff>35725</xdr:rowOff>
    </xdr:from>
    <xdr:to>
      <xdr:col>3</xdr:col>
      <xdr:colOff>2047880</xdr:colOff>
      <xdr:row>14</xdr:row>
      <xdr:rowOff>297660</xdr:rowOff>
    </xdr:to>
    <xdr:sp macro="" textlink="">
      <xdr:nvSpPr>
        <xdr:cNvPr id="11" name="Arrow: Down 10">
          <a:extLst>
            <a:ext uri="{FF2B5EF4-FFF2-40B4-BE49-F238E27FC236}">
              <a16:creationId xmlns:a16="http://schemas.microsoft.com/office/drawing/2014/main" id="{ECA3F34D-CCBE-4107-A3BC-3B8E6EAEC977}"/>
            </a:ext>
          </a:extLst>
        </xdr:cNvPr>
        <xdr:cNvSpPr/>
      </xdr:nvSpPr>
      <xdr:spPr>
        <a:xfrm>
          <a:off x="8882070" y="3702850"/>
          <a:ext cx="190498" cy="261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939116</xdr:colOff>
      <xdr:row>0</xdr:row>
      <xdr:rowOff>140493</xdr:rowOff>
    </xdr:from>
    <xdr:ext cx="3198152" cy="1431132"/>
    <xdr:pic>
      <xdr:nvPicPr>
        <xdr:cNvPr id="2" name="Picture 5" descr="This is the official Derby City Council logo, featuring the ram facing towards the right and the words 'Derby City Council' below this.">
          <a:extLst>
            <a:ext uri="{FF2B5EF4-FFF2-40B4-BE49-F238E27FC236}">
              <a16:creationId xmlns:a16="http://schemas.microsoft.com/office/drawing/2014/main" id="{1BC50E17-25E3-4142-A322-F3529F3D5382}"/>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12345304" y="140493"/>
          <a:ext cx="3198152" cy="14311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xdr:from>
      <xdr:col>7</xdr:col>
      <xdr:colOff>1212737</xdr:colOff>
      <xdr:row>9</xdr:row>
      <xdr:rowOff>134370</xdr:rowOff>
    </xdr:from>
    <xdr:to>
      <xdr:col>9</xdr:col>
      <xdr:colOff>477952</xdr:colOff>
      <xdr:row>10</xdr:row>
      <xdr:rowOff>445634</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D671F19E-25FA-44DC-1CDF-6DA7075FBEBF}"/>
            </a:ext>
          </a:extLst>
        </xdr:cNvPr>
        <xdr:cNvSpPr/>
      </xdr:nvSpPr>
      <xdr:spPr>
        <a:xfrm>
          <a:off x="12288951" y="2420370"/>
          <a:ext cx="2041072" cy="733085"/>
        </a:xfrm>
        <a:prstGeom prst="roundRect">
          <a:avLst/>
        </a:prstGeom>
        <a:solidFill>
          <a:srgbClr val="FFFF99"/>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a:solidFill>
                <a:schemeClr val="tx1"/>
              </a:solidFill>
            </a:rPr>
            <a:t>Back</a:t>
          </a:r>
          <a:r>
            <a:rPr lang="en-GB" sz="1800" b="1" baseline="0">
              <a:solidFill>
                <a:schemeClr val="tx1"/>
              </a:solidFill>
            </a:rPr>
            <a:t> to Schools Summary</a:t>
          </a:r>
          <a:endParaRPr lang="en-GB" sz="1800" b="1">
            <a:solidFill>
              <a:schemeClr val="tx1"/>
            </a:solidFill>
          </a:endParaRPr>
        </a:p>
      </xdr:txBody>
    </xdr:sp>
    <xdr:clientData/>
  </xdr:twoCellAnchor>
  <xdr:twoCellAnchor>
    <xdr:from>
      <xdr:col>8</xdr:col>
      <xdr:colOff>653143</xdr:colOff>
      <xdr:row>65</xdr:row>
      <xdr:rowOff>299357</xdr:rowOff>
    </xdr:from>
    <xdr:to>
      <xdr:col>9</xdr:col>
      <xdr:colOff>1319893</xdr:colOff>
      <xdr:row>68</xdr:row>
      <xdr:rowOff>312965</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861CC036-935F-4BF7-88E7-ECC3E75280B8}"/>
            </a:ext>
          </a:extLst>
        </xdr:cNvPr>
        <xdr:cNvSpPr/>
      </xdr:nvSpPr>
      <xdr:spPr>
        <a:xfrm>
          <a:off x="13117286" y="23213786"/>
          <a:ext cx="2054678" cy="857250"/>
        </a:xfrm>
        <a:prstGeom prst="roundRect">
          <a:avLst/>
        </a:prstGeom>
        <a:solidFill>
          <a:srgbClr val="FFFF99"/>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a:solidFill>
                <a:schemeClr val="tx1"/>
              </a:solidFill>
            </a:rPr>
            <a:t>Back</a:t>
          </a:r>
          <a:r>
            <a:rPr lang="en-GB" sz="1800" b="1" baseline="0">
              <a:solidFill>
                <a:schemeClr val="tx1"/>
              </a:solidFill>
            </a:rPr>
            <a:t> to Schools Summary</a:t>
          </a:r>
          <a:endParaRPr lang="en-GB" sz="18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218017</xdr:colOff>
      <xdr:row>0</xdr:row>
      <xdr:rowOff>140757</xdr:rowOff>
    </xdr:from>
    <xdr:ext cx="2087033" cy="1230843"/>
    <xdr:pic>
      <xdr:nvPicPr>
        <xdr:cNvPr id="3" name="Picture 5" descr="This is the official Derby City Council logo, featuring the ram facing towards the right and the words 'Derby City Council' below this.">
          <a:extLst>
            <a:ext uri="{FF2B5EF4-FFF2-40B4-BE49-F238E27FC236}">
              <a16:creationId xmlns:a16="http://schemas.microsoft.com/office/drawing/2014/main" id="{ADA82B39-3A45-4FE3-A982-4F17A146FC55}"/>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11038417" y="140757"/>
          <a:ext cx="2087033" cy="1230843"/>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xdr:from>
      <xdr:col>6</xdr:col>
      <xdr:colOff>297655</xdr:colOff>
      <xdr:row>11</xdr:row>
      <xdr:rowOff>116417</xdr:rowOff>
    </xdr:from>
    <xdr:to>
      <xdr:col>7</xdr:col>
      <xdr:colOff>1242218</xdr:colOff>
      <xdr:row>13</xdr:row>
      <xdr:rowOff>27780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9FEEDBBF-AA69-4081-B050-FB6A9631998E}"/>
            </a:ext>
          </a:extLst>
        </xdr:cNvPr>
        <xdr:cNvSpPr/>
      </xdr:nvSpPr>
      <xdr:spPr>
        <a:xfrm>
          <a:off x="10798968" y="2795323"/>
          <a:ext cx="2063750" cy="732895"/>
        </a:xfrm>
        <a:prstGeom prst="roundRect">
          <a:avLst/>
        </a:prstGeom>
        <a:solidFill>
          <a:srgbClr val="FFFF99"/>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a:solidFill>
                <a:schemeClr val="tx1"/>
              </a:solidFill>
            </a:rPr>
            <a:t>Back</a:t>
          </a:r>
          <a:r>
            <a:rPr lang="en-GB" sz="1800" b="1" baseline="0">
              <a:solidFill>
                <a:schemeClr val="tx1"/>
              </a:solidFill>
            </a:rPr>
            <a:t> to Schools Summary</a:t>
          </a:r>
          <a:endParaRPr lang="en-GB" sz="1800" b="1">
            <a:solidFill>
              <a:schemeClr val="tx1"/>
            </a:solidFill>
          </a:endParaRPr>
        </a:p>
      </xdr:txBody>
    </xdr:sp>
    <xdr:clientData/>
  </xdr:twoCellAnchor>
  <xdr:twoCellAnchor>
    <xdr:from>
      <xdr:col>6</xdr:col>
      <xdr:colOff>349250</xdr:colOff>
      <xdr:row>31</xdr:row>
      <xdr:rowOff>84666</xdr:rowOff>
    </xdr:from>
    <xdr:to>
      <xdr:col>7</xdr:col>
      <xdr:colOff>1285875</xdr:colOff>
      <xdr:row>33</xdr:row>
      <xdr:rowOff>133614</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E1276D2E-5AC3-42A7-89CF-887EC2DAC5D1}"/>
            </a:ext>
          </a:extLst>
        </xdr:cNvPr>
        <xdr:cNvSpPr/>
      </xdr:nvSpPr>
      <xdr:spPr>
        <a:xfrm>
          <a:off x="10826750" y="11377083"/>
          <a:ext cx="2047875" cy="726281"/>
        </a:xfrm>
        <a:prstGeom prst="roundRect">
          <a:avLst/>
        </a:prstGeom>
        <a:solidFill>
          <a:srgbClr val="FFFF99"/>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a:solidFill>
                <a:schemeClr val="tx1"/>
              </a:solidFill>
            </a:rPr>
            <a:t>Back</a:t>
          </a:r>
          <a:r>
            <a:rPr lang="en-GB" sz="1800" b="1" baseline="0">
              <a:solidFill>
                <a:schemeClr val="tx1"/>
              </a:solidFill>
            </a:rPr>
            <a:t> to Schools Summary</a:t>
          </a:r>
          <a:endParaRPr lang="en-GB" sz="18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9</xdr:col>
      <xdr:colOff>295276</xdr:colOff>
      <xdr:row>0</xdr:row>
      <xdr:rowOff>0</xdr:rowOff>
    </xdr:from>
    <xdr:ext cx="1179002" cy="695325"/>
    <xdr:pic>
      <xdr:nvPicPr>
        <xdr:cNvPr id="2" name="Picture 5" descr="This is the official Derby City Council logo, featuring the ram facing towards the right and the words 'Derby City Council' below this.">
          <a:extLst>
            <a:ext uri="{FF2B5EF4-FFF2-40B4-BE49-F238E27FC236}">
              <a16:creationId xmlns:a16="http://schemas.microsoft.com/office/drawing/2014/main" id="{D99DE9E7-2552-4453-BE6A-646517A787C5}"/>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9229726" y="0"/>
          <a:ext cx="1179002" cy="69532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977655</xdr:colOff>
      <xdr:row>0</xdr:row>
      <xdr:rowOff>47138</xdr:rowOff>
    </xdr:from>
    <xdr:ext cx="1179002" cy="695325"/>
    <xdr:pic>
      <xdr:nvPicPr>
        <xdr:cNvPr id="2" name="Picture 5" descr="This is the official Derby City Council logo, featuring the ram facing towards the right and the words 'Derby City Council' below this.">
          <a:extLst>
            <a:ext uri="{FF2B5EF4-FFF2-40B4-BE49-F238E27FC236}">
              <a16:creationId xmlns:a16="http://schemas.microsoft.com/office/drawing/2014/main" id="{A9B67F11-7782-4186-9952-43FB7392493A}"/>
            </a:ext>
            <a:ext uri="{C183D7F6-B498-43B3-948B-1728B52AA6E4}">
              <adec:decorative xmlns:adec="http://schemas.microsoft.com/office/drawing/2017/decorative" val="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3" t="-1157" r="754" b="-1116"/>
        <a:stretch/>
      </xdr:blipFill>
      <xdr:spPr bwMode="auto">
        <a:xfrm>
          <a:off x="6831867" y="47138"/>
          <a:ext cx="1179002" cy="69532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xdr:colOff>
      <xdr:row>4</xdr:row>
      <xdr:rowOff>73293</xdr:rowOff>
    </xdr:to>
    <xdr:pic>
      <xdr:nvPicPr>
        <xdr:cNvPr id="2" name="Picture 5" descr="https://iderby.derby.gov.uk/media/intranet/images/contentimages/commstoolkit/DerbyCityCouncil-Logo-A5.jpg">
          <a:extLst>
            <a:ext uri="{FF2B5EF4-FFF2-40B4-BE49-F238E27FC236}">
              <a16:creationId xmlns:a16="http://schemas.microsoft.com/office/drawing/2014/main" id="{16D1112E-E4EC-432B-BC45-FC6BBDE8F2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485900" cy="76226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647701</xdr:colOff>
      <xdr:row>4</xdr:row>
      <xdr:rowOff>76468</xdr:rowOff>
    </xdr:to>
    <xdr:pic>
      <xdr:nvPicPr>
        <xdr:cNvPr id="2" name="Picture 5" descr="https://iderby.derby.gov.uk/media/intranet/images/contentimages/commstoolkit/DerbyCityCouncil-Logo-A5.jpg">
          <a:extLst>
            <a:ext uri="{FF2B5EF4-FFF2-40B4-BE49-F238E27FC236}">
              <a16:creationId xmlns:a16="http://schemas.microsoft.com/office/drawing/2014/main" id="{9DD8B902-B720-4036-9CBC-2CC044B1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9251" cy="76226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emma Gaunt" id="{0A60409C-9ACE-4298-A838-0DF6D9129583}" userId="S::Jemma.Gaunt@derby.gov.uk::efb9da03-91bb-486c-b5a4-d542e9630ba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4" dT="2025-12-16T14:34:52.16" personId="{0A60409C-9ACE-4298-A838-0DF6D9129583}" id="{E4017A73-8AFF-44D0-8B56-7D1DCCFB5F4A}">
    <text xml:space="preserve">Is there a local agreement up to 48 </text>
  </threadedComment>
  <threadedComment ref="S18" dT="2026-01-09T14:46:15.32" personId="{0A60409C-9ACE-4298-A838-0DF6D9129583}" id="{B11E11B1-C072-4167-9871-B5CA94E1BD6F}">
    <text xml:space="preserve">Altered for 5 months as will transfer to maintained as ERS is to be decommissioned </text>
  </threadedComment>
  <threadedComment ref="P24" dT="2024-12-23T08:16:18.48" personId="{0A60409C-9ACE-4298-A838-0DF6D9129583}" id="{C5556A7F-6AA9-4BC9-9E68-02CE37B32AF5}">
    <text xml:space="preserve">Removed as expected to be filled@ October by Other LA’s - Vacant places is if they become vacant by other LA in September </text>
  </threadedComment>
  <threadedComment ref="P25" dT="2024-12-23T08:16:18.48" personId="{0A60409C-9ACE-4298-A838-0DF6D9129583}" id="{36D79521-801B-4DF8-AF88-94CFB36B6EB0}">
    <text xml:space="preserve">Removed as expected to be filled@ October by Other LA’s - Vacant places is if they become vacant by other LA in September </text>
  </threadedComment>
  <threadedComment ref="P26" dT="2024-12-23T08:16:18.48" personId="{0A60409C-9ACE-4298-A838-0DF6D9129583}" id="{3F74A72D-132C-4878-A77C-83F71FF2E3C4}">
    <text xml:space="preserve">Removed as expected to be filled@ October by Other LA’s - Vacant places is if they become vacant by other LA in September </text>
  </threadedComment>
  <threadedComment ref="P27" dT="2024-12-23T08:16:18.48" personId="{0A60409C-9ACE-4298-A838-0DF6D9129583}" id="{3085F346-7E21-4ACC-A6F8-F6CDC3A0E968}">
    <text xml:space="preserve">Removed as expected to be filled@ October by Other LA’s - Vacant places is if they become vacant by other LA in September </text>
  </threadedComment>
  <threadedComment ref="P28" dT="2024-12-23T08:16:18.48" personId="{0A60409C-9ACE-4298-A838-0DF6D9129583}" id="{CEDCD464-EBA7-4D56-BC2D-0355E0DF843A}">
    <text xml:space="preserve">Removed as expected to be filled@ October by Other LA’s - Vacant places is if they become vacant by other LA in September </text>
  </threadedComment>
  <threadedComment ref="P29" dT="2024-12-23T08:16:18.48" personId="{0A60409C-9ACE-4298-A838-0DF6D9129583}" id="{79839DD6-86E7-44C7-AFAE-5A5389657412}">
    <text xml:space="preserve">Removed as expected to be filled@ October by Other LA’s - Vacant places is if they become vacant by other LA in September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choolfinanceteam@derby.gov.u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hyperlink" Target="https://get-information-schools.service.gov.uk/Search?SelectedTab=Establishmen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choolfinanceteam@derby.gov.uk"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choolfinanceteam@derby.gov.uk"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choolfinanceteam@derby.gov.uk"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4FB4-0C56-4222-8ECE-DCA63DD9CF2C}">
  <sheetPr codeName="Sheet9">
    <pageSetUpPr fitToPage="1"/>
  </sheetPr>
  <dimension ref="B1:O302"/>
  <sheetViews>
    <sheetView tabSelected="1" zoomScale="60" workbookViewId="0">
      <selection activeCell="E21" sqref="E21"/>
    </sheetView>
  </sheetViews>
  <sheetFormatPr defaultColWidth="9.1796875" defaultRowHeight="12.5" x14ac:dyDescent="0.25"/>
  <cols>
    <col min="1" max="1" width="8.1796875" customWidth="1"/>
    <col min="2" max="2" width="67.81640625" customWidth="1"/>
    <col min="3" max="3" width="35.81640625" customWidth="1"/>
    <col min="4" max="7" width="16.81640625" customWidth="1"/>
    <col min="8" max="8" width="20.81640625" customWidth="1"/>
    <col min="9" max="10" width="20.81640625" style="235" customWidth="1"/>
    <col min="11" max="11" width="9.1796875" style="235"/>
    <col min="13" max="13" width="17.08984375" customWidth="1"/>
    <col min="14" max="14" width="12.1796875" style="318" hidden="1" customWidth="1"/>
    <col min="15" max="15" width="0" style="318" hidden="1" customWidth="1"/>
  </cols>
  <sheetData>
    <row r="1" spans="2:15" s="50" customFormat="1" ht="13" thickBot="1" x14ac:dyDescent="0.3">
      <c r="H1" s="51"/>
      <c r="I1" s="51"/>
      <c r="J1" s="51"/>
      <c r="N1" s="289"/>
      <c r="O1" s="289"/>
    </row>
    <row r="2" spans="2:15" s="50" customFormat="1" ht="22.5" customHeight="1" x14ac:dyDescent="0.25">
      <c r="B2" s="726" t="s">
        <v>152</v>
      </c>
      <c r="C2" s="45"/>
      <c r="N2" s="289"/>
      <c r="O2" s="289"/>
    </row>
    <row r="3" spans="2:15" s="50" customFormat="1" ht="20.25" customHeight="1" x14ac:dyDescent="0.25">
      <c r="B3" s="727"/>
      <c r="C3" s="51"/>
      <c r="N3" s="289"/>
      <c r="O3" s="289"/>
    </row>
    <row r="4" spans="2:15" s="50" customFormat="1" ht="21.75" customHeight="1" thickBot="1" x14ac:dyDescent="0.3">
      <c r="B4" s="728"/>
      <c r="C4" s="51"/>
      <c r="D4" s="51"/>
      <c r="E4" s="51"/>
      <c r="F4" s="51"/>
      <c r="G4" s="51"/>
      <c r="H4" s="51"/>
      <c r="I4" s="51"/>
      <c r="J4" s="51"/>
      <c r="N4" s="289"/>
      <c r="O4" s="289"/>
    </row>
    <row r="5" spans="2:15" s="50" customFormat="1" x14ac:dyDescent="0.25">
      <c r="B5" s="248"/>
      <c r="C5" s="51"/>
      <c r="D5" s="51"/>
      <c r="E5" s="51"/>
      <c r="F5" s="51"/>
      <c r="G5" s="51"/>
      <c r="H5" s="51"/>
      <c r="I5" s="51"/>
      <c r="J5" s="51"/>
      <c r="N5" s="289"/>
      <c r="O5" s="289"/>
    </row>
    <row r="6" spans="2:15" s="50" customFormat="1" x14ac:dyDescent="0.25">
      <c r="B6" s="239"/>
      <c r="C6" s="51"/>
      <c r="D6" s="51"/>
      <c r="E6" s="51"/>
      <c r="F6" s="51"/>
      <c r="G6" s="51"/>
      <c r="H6" s="51"/>
      <c r="I6" s="51"/>
      <c r="J6" s="51"/>
      <c r="N6" s="289"/>
      <c r="O6" s="289"/>
    </row>
    <row r="7" spans="2:15" s="50" customFormat="1" ht="13" thickBot="1" x14ac:dyDescent="0.3">
      <c r="H7" s="51"/>
      <c r="I7" s="51"/>
      <c r="J7" s="51"/>
      <c r="N7" s="289"/>
      <c r="O7" s="289"/>
    </row>
    <row r="8" spans="2:15" s="50" customFormat="1" ht="30" customHeight="1" thickBot="1" x14ac:dyDescent="0.3">
      <c r="B8" s="238" t="s">
        <v>1352</v>
      </c>
      <c r="C8" s="324"/>
      <c r="D8" s="52"/>
      <c r="E8" s="52"/>
      <c r="F8" s="52"/>
      <c r="G8" s="52"/>
      <c r="H8" s="53"/>
      <c r="I8" s="51"/>
      <c r="J8" s="51"/>
      <c r="N8" s="289"/>
      <c r="O8" s="289"/>
    </row>
    <row r="9" spans="2:15" s="50" customFormat="1" ht="15" customHeight="1" x14ac:dyDescent="0.25">
      <c r="B9" s="54"/>
      <c r="C9" s="59"/>
      <c r="D9" s="59"/>
      <c r="E9" s="59"/>
      <c r="H9" s="292"/>
      <c r="I9" s="51"/>
      <c r="J9" s="51"/>
      <c r="N9" s="289"/>
      <c r="O9" s="289"/>
    </row>
    <row r="10" spans="2:15" s="50" customFormat="1" ht="15" customHeight="1" thickBot="1" x14ac:dyDescent="0.3">
      <c r="B10" s="54"/>
      <c r="C10" s="59"/>
      <c r="D10" s="59"/>
      <c r="E10" s="59"/>
      <c r="H10" s="292"/>
      <c r="I10" s="51"/>
      <c r="J10" s="51"/>
      <c r="K10" s="55"/>
      <c r="N10" s="289"/>
      <c r="O10" s="289"/>
    </row>
    <row r="11" spans="2:15" s="49" customFormat="1" ht="33.75" customHeight="1" x14ac:dyDescent="0.25">
      <c r="B11" s="729" t="s">
        <v>164</v>
      </c>
      <c r="C11" s="730"/>
      <c r="D11" s="731"/>
      <c r="E11" s="57"/>
      <c r="F11" s="735" t="s">
        <v>154</v>
      </c>
      <c r="G11" s="221"/>
      <c r="H11" s="252"/>
      <c r="I11" s="57"/>
      <c r="J11" s="57"/>
      <c r="N11" s="316"/>
      <c r="O11" s="316"/>
    </row>
    <row r="12" spans="2:15" s="49" customFormat="1" ht="32.25" customHeight="1" thickBot="1" x14ac:dyDescent="0.3">
      <c r="B12" s="732"/>
      <c r="C12" s="733"/>
      <c r="D12" s="734"/>
      <c r="E12" s="57"/>
      <c r="F12" s="736"/>
      <c r="G12" s="221"/>
      <c r="H12" s="252"/>
      <c r="I12" s="57"/>
      <c r="J12" s="57"/>
      <c r="N12" s="316"/>
      <c r="O12" s="316"/>
    </row>
    <row r="13" spans="2:15" s="50" customFormat="1" ht="33" customHeight="1" thickBot="1" x14ac:dyDescent="0.3">
      <c r="B13" s="744" t="s">
        <v>751</v>
      </c>
      <c r="C13" s="745" t="s">
        <v>165</v>
      </c>
      <c r="D13" s="746" t="s">
        <v>165</v>
      </c>
      <c r="E13" s="55"/>
      <c r="F13" s="222" t="str">
        <f>_xlfn.XLOOKUP(B13,'PVI Provider Lookup'!A:A,'PVI Provider Lookup'!B:B)</f>
        <v>All</v>
      </c>
      <c r="G13" s="223"/>
      <c r="H13" s="252"/>
      <c r="I13" s="56"/>
      <c r="J13" s="56"/>
      <c r="N13" s="289"/>
      <c r="O13" s="289"/>
    </row>
    <row r="14" spans="2:15" s="50" customFormat="1" ht="27" customHeight="1" x14ac:dyDescent="0.25">
      <c r="B14" s="58"/>
      <c r="C14" s="740"/>
      <c r="D14" s="740"/>
      <c r="E14" s="740"/>
      <c r="F14" s="55"/>
      <c r="G14" s="55"/>
      <c r="H14" s="293"/>
      <c r="I14" s="56"/>
      <c r="J14" s="56"/>
      <c r="N14" s="289"/>
      <c r="O14" s="289"/>
    </row>
    <row r="15" spans="2:15" s="50" customFormat="1" ht="27" customHeight="1" thickBot="1" x14ac:dyDescent="0.3">
      <c r="B15" s="58"/>
      <c r="C15" s="59"/>
      <c r="D15" s="59"/>
      <c r="E15" s="59"/>
      <c r="F15" s="55"/>
      <c r="G15" s="55"/>
      <c r="H15" s="294"/>
      <c r="I15" s="55"/>
      <c r="J15" s="56"/>
      <c r="N15" s="289"/>
      <c r="O15" s="289"/>
    </row>
    <row r="16" spans="2:15" s="50" customFormat="1" ht="57" customHeight="1" thickBot="1" x14ac:dyDescent="0.3">
      <c r="B16" s="696" t="s">
        <v>166</v>
      </c>
      <c r="C16" s="697"/>
      <c r="D16" s="151" t="s">
        <v>167</v>
      </c>
      <c r="E16" s="259" t="s">
        <v>1408</v>
      </c>
      <c r="F16" s="259" t="s">
        <v>1409</v>
      </c>
      <c r="G16" s="260" t="s">
        <v>1410</v>
      </c>
      <c r="H16" s="150" t="s">
        <v>168</v>
      </c>
      <c r="I16" s="57"/>
      <c r="J16" s="60"/>
      <c r="N16" s="289"/>
      <c r="O16" s="289"/>
    </row>
    <row r="17" spans="2:15" s="50" customFormat="1" ht="35.15" customHeight="1" x14ac:dyDescent="0.25">
      <c r="B17" s="713" t="s">
        <v>1299</v>
      </c>
      <c r="C17" s="714"/>
      <c r="D17" s="295">
        <v>5.52</v>
      </c>
      <c r="E17" s="296">
        <f>IFERROR(SUMIF('3&amp;4 Yo'!$C$60:$C$203,$F$13,'3&amp;4 Yo'!$E$60:$E$203),0)</f>
        <v>451461.51802631578</v>
      </c>
      <c r="F17" s="296">
        <f>IFERROR(SUMIF('3&amp;4 Yo'!$C$60:$C$203,$F$13,'3&amp;4 Yo'!$I$60:$I$203),0)</f>
        <v>294139.34863157891</v>
      </c>
      <c r="G17" s="296">
        <f>IFERROR(SUMIF('3&amp;4 Yo'!$C$60:$C$203,$F$13,'3&amp;4 Yo'!$M$60:$M$203),0)</f>
        <v>322213.24068421056</v>
      </c>
      <c r="H17" s="258">
        <f>SUM(E17:G17)*D17</f>
        <v>5894333.8725284208</v>
      </c>
      <c r="I17" s="61"/>
      <c r="J17" s="62"/>
      <c r="N17" s="317" t="e">
        <f>_xlfn.XLOOKUP($F$13,#REF!,#REF!,0,0)</f>
        <v>#REF!</v>
      </c>
      <c r="O17" s="290" t="e">
        <f>H17-N17</f>
        <v>#REF!</v>
      </c>
    </row>
    <row r="18" spans="2:15" s="50" customFormat="1" ht="35.15" customHeight="1" x14ac:dyDescent="0.25">
      <c r="B18" s="713" t="s">
        <v>1300</v>
      </c>
      <c r="C18" s="714"/>
      <c r="D18" s="295">
        <v>5.52</v>
      </c>
      <c r="E18" s="296">
        <f>IFERROR(SUMIF('3&amp;4 Yo'!$C$60:$C$203,$F$13,'3&amp;4 Yo'!$F$60:$F$203),0)</f>
        <v>223564.45184210525</v>
      </c>
      <c r="F18" s="296">
        <f>IFERROR(SUMIF('3&amp;4 Yo'!$C$60:$C$203,$F$13,'3&amp;4 Yo'!$J$60:$J$203),0)</f>
        <v>151868.2052631579</v>
      </c>
      <c r="G18" s="296">
        <f>IFERROR(SUMIF('3&amp;4 Yo'!$C$60:$C$203,$F$13,'3&amp;4 Yo'!$N$60:$N$203),0)</f>
        <v>158847.42731578945</v>
      </c>
      <c r="H18" s="258">
        <f>SUM(E18:G18)*D18</f>
        <v>2949226.0660042102</v>
      </c>
      <c r="I18" s="61"/>
      <c r="J18" s="62"/>
      <c r="N18" s="317"/>
      <c r="O18" s="290"/>
    </row>
    <row r="19" spans="2:15" s="50" customFormat="1" ht="35.15" customHeight="1" x14ac:dyDescent="0.25">
      <c r="B19" s="715" t="s">
        <v>772</v>
      </c>
      <c r="C19" s="716"/>
      <c r="D19" s="254">
        <v>8.1</v>
      </c>
      <c r="E19" s="417"/>
      <c r="F19" s="417"/>
      <c r="G19" s="417"/>
      <c r="H19" s="418"/>
      <c r="I19" s="61"/>
      <c r="J19" s="62"/>
      <c r="N19" s="317" t="e">
        <f>_xlfn.XLOOKUP($F$13,#REF!,#REF!,0,0)</f>
        <v>#REF!</v>
      </c>
      <c r="O19" s="290" t="e">
        <f>H19-N19</f>
        <v>#REF!</v>
      </c>
    </row>
    <row r="20" spans="2:15" s="50" customFormat="1" ht="35.15" customHeight="1" x14ac:dyDescent="0.25">
      <c r="B20" s="715" t="s">
        <v>169</v>
      </c>
      <c r="C20" s="716"/>
      <c r="D20" s="254">
        <v>8.1</v>
      </c>
      <c r="E20" s="417"/>
      <c r="F20" s="417"/>
      <c r="G20" s="417"/>
      <c r="H20" s="419"/>
      <c r="I20" s="61"/>
      <c r="J20" s="62"/>
      <c r="N20" s="317" t="e">
        <f>_xlfn.XLOOKUP($F$13,#REF!,#REF!,0,0)</f>
        <v>#REF!</v>
      </c>
      <c r="O20" s="290" t="e">
        <f>H20-N20</f>
        <v>#REF!</v>
      </c>
    </row>
    <row r="21" spans="2:15" s="50" customFormat="1" ht="35.15" customHeight="1" thickBot="1" x14ac:dyDescent="0.3">
      <c r="B21" s="717" t="s">
        <v>170</v>
      </c>
      <c r="C21" s="718"/>
      <c r="D21" s="255">
        <v>11.16</v>
      </c>
      <c r="E21" s="417"/>
      <c r="F21" s="417"/>
      <c r="G21" s="417"/>
      <c r="H21" s="420"/>
      <c r="I21" s="61"/>
      <c r="J21" s="62"/>
      <c r="N21" s="317" t="e">
        <f>_xlfn.XLOOKUP(F13,'ISB new'!A:A,'ISB new'!#REF!,0,0)</f>
        <v>#REF!</v>
      </c>
      <c r="O21" s="290" t="e">
        <f>H21-N21</f>
        <v>#REF!</v>
      </c>
    </row>
    <row r="22" spans="2:15" s="50" customFormat="1" ht="50.25" customHeight="1" thickBot="1" x14ac:dyDescent="0.3">
      <c r="B22" s="719" t="s">
        <v>171</v>
      </c>
      <c r="C22" s="720"/>
      <c r="D22" s="151" t="s">
        <v>167</v>
      </c>
      <c r="E22" s="701"/>
      <c r="F22" s="702"/>
      <c r="G22" s="703"/>
      <c r="H22" s="150" t="s">
        <v>168</v>
      </c>
      <c r="I22" s="57"/>
      <c r="J22" s="57"/>
      <c r="N22" s="289"/>
      <c r="O22" s="289"/>
    </row>
    <row r="23" spans="2:15" s="50" customFormat="1" ht="35.15" customHeight="1" x14ac:dyDescent="0.25">
      <c r="B23" s="721" t="s">
        <v>172</v>
      </c>
      <c r="C23" s="722"/>
      <c r="D23" s="297">
        <v>0.6</v>
      </c>
      <c r="E23" s="704"/>
      <c r="F23" s="705"/>
      <c r="G23" s="706"/>
      <c r="H23" s="258">
        <f>IFERROR(SUMIF('3&amp;4 Yo'!$C$60:$C$203,$F$13,'3&amp;4 Yo'!$AB$60:$AB$203),0)*D23</f>
        <v>195282.04724210521</v>
      </c>
      <c r="I23" s="61"/>
      <c r="J23" s="61"/>
      <c r="N23" s="317" t="e">
        <f>_xlfn.XLOOKUP($F$13,#REF!,#REF!,0,0)</f>
        <v>#REF!</v>
      </c>
      <c r="O23" s="290" t="e">
        <f>H23-N23</f>
        <v>#REF!</v>
      </c>
    </row>
    <row r="24" spans="2:15" s="50" customFormat="1" ht="35.15" customHeight="1" x14ac:dyDescent="0.25">
      <c r="B24" s="715" t="s">
        <v>173</v>
      </c>
      <c r="C24" s="716"/>
      <c r="D24" s="256">
        <v>0.2</v>
      </c>
      <c r="E24" s="707"/>
      <c r="F24" s="708"/>
      <c r="G24" s="709"/>
      <c r="H24" s="258">
        <f>IFERROR(SUMIF('3&amp;4 Yo'!$C$60:$C$203,$F$13,'3&amp;4 Yo'!$AJ$60:$AJ$203),0)*D24</f>
        <v>66840.682831578946</v>
      </c>
      <c r="I24" s="61"/>
      <c r="J24" s="61"/>
      <c r="N24" s="317" t="e">
        <f>_xlfn.XLOOKUP($F$13,#REF!,#REF!,0,0)</f>
        <v>#REF!</v>
      </c>
      <c r="O24" s="290" t="e">
        <f>H24-N24</f>
        <v>#REF!</v>
      </c>
    </row>
    <row r="25" spans="2:15" s="50" customFormat="1" ht="35.15" customHeight="1" thickBot="1" x14ac:dyDescent="0.3">
      <c r="B25" s="717" t="s">
        <v>174</v>
      </c>
      <c r="C25" s="718"/>
      <c r="D25" s="257">
        <v>0.2</v>
      </c>
      <c r="E25" s="710"/>
      <c r="F25" s="711"/>
      <c r="G25" s="712"/>
      <c r="H25" s="258">
        <f>IFERROR(SUMIF('3&amp;4 Yo'!$C$60:$C$203,$F$13,'3&amp;4 Yo'!$AU$60:$AU$203),0)*D25</f>
        <v>30258.237999999998</v>
      </c>
      <c r="I25" s="61"/>
      <c r="J25" s="61"/>
      <c r="N25" s="317" t="e">
        <f>_xlfn.XLOOKUP($F$13,#REF!,#REF!,0,0)</f>
        <v>#REF!</v>
      </c>
      <c r="O25" s="290" t="e">
        <f>H25-N25</f>
        <v>#REF!</v>
      </c>
    </row>
    <row r="26" spans="2:15" s="50" customFormat="1" ht="35.15" customHeight="1" thickBot="1" x14ac:dyDescent="0.3">
      <c r="B26" s="15" t="s">
        <v>175</v>
      </c>
      <c r="C26" s="66"/>
      <c r="D26" s="67"/>
      <c r="E26" s="282"/>
      <c r="F26" s="282"/>
      <c r="G26" s="282"/>
      <c r="H26" s="234">
        <f>SUM(H17:H25)</f>
        <v>9135940.9066063166</v>
      </c>
      <c r="I26" s="228"/>
      <c r="J26" s="232"/>
      <c r="N26" s="317" t="e">
        <f>SUM(N17:N25)</f>
        <v>#REF!</v>
      </c>
      <c r="O26" s="290" t="e">
        <f>H26-N26</f>
        <v>#REF!</v>
      </c>
    </row>
    <row r="27" spans="2:15" s="50" customFormat="1" ht="37.5" customHeight="1" thickBot="1" x14ac:dyDescent="0.3">
      <c r="B27" s="741" t="s">
        <v>771</v>
      </c>
      <c r="C27" s="742"/>
      <c r="D27" s="742"/>
      <c r="E27" s="742"/>
      <c r="F27" s="742"/>
      <c r="G27" s="742"/>
      <c r="H27" s="743"/>
      <c r="I27" s="51"/>
      <c r="J27" s="51"/>
      <c r="N27" s="289"/>
      <c r="O27" s="289"/>
    </row>
    <row r="28" spans="2:15" s="50" customFormat="1" ht="27" customHeight="1" x14ac:dyDescent="0.25">
      <c r="B28" s="70"/>
      <c r="C28" s="70"/>
      <c r="D28" s="70"/>
      <c r="E28" s="70"/>
      <c r="F28" s="70"/>
      <c r="G28" s="70"/>
      <c r="H28" s="70"/>
      <c r="I28" s="51"/>
      <c r="J28" s="51"/>
      <c r="N28" s="289"/>
      <c r="O28" s="289"/>
    </row>
    <row r="29" spans="2:15" s="50" customFormat="1" ht="27" customHeight="1" x14ac:dyDescent="0.25">
      <c r="B29" s="71"/>
      <c r="C29" s="71"/>
      <c r="D29" s="71"/>
      <c r="E29" s="71"/>
      <c r="F29" s="71"/>
      <c r="G29" s="71"/>
      <c r="H29" s="71"/>
      <c r="I29" s="51"/>
      <c r="J29" s="51"/>
      <c r="N29" s="289"/>
      <c r="O29" s="289"/>
    </row>
    <row r="30" spans="2:15" s="50" customFormat="1" ht="27" customHeight="1" x14ac:dyDescent="0.25">
      <c r="B30" s="71"/>
      <c r="C30" s="71"/>
      <c r="D30" s="71"/>
      <c r="E30" s="71"/>
      <c r="F30" s="71"/>
      <c r="G30" s="71"/>
      <c r="H30" s="71"/>
      <c r="I30" s="51"/>
      <c r="J30" s="51"/>
      <c r="N30" s="289"/>
      <c r="O30" s="289"/>
    </row>
    <row r="31" spans="2:15" s="50" customFormat="1" ht="27" customHeight="1" x14ac:dyDescent="0.25">
      <c r="B31" s="71"/>
      <c r="C31" s="71"/>
      <c r="D31" s="71"/>
      <c r="E31" s="71"/>
      <c r="F31" s="71"/>
      <c r="G31" s="71"/>
      <c r="H31" s="71"/>
      <c r="I31" s="51"/>
      <c r="J31" s="51"/>
      <c r="N31" s="289"/>
      <c r="O31" s="289"/>
    </row>
    <row r="32" spans="2:15" s="235" customFormat="1" x14ac:dyDescent="0.25">
      <c r="N32" s="291"/>
      <c r="O32" s="291"/>
    </row>
    <row r="33" spans="14:15" s="235" customFormat="1" x14ac:dyDescent="0.25">
      <c r="N33" s="291"/>
      <c r="O33" s="291"/>
    </row>
    <row r="34" spans="14:15" s="235" customFormat="1" x14ac:dyDescent="0.25">
      <c r="N34" s="291"/>
      <c r="O34" s="291"/>
    </row>
    <row r="35" spans="14:15" s="235" customFormat="1" x14ac:dyDescent="0.25">
      <c r="N35" s="291"/>
      <c r="O35" s="291"/>
    </row>
    <row r="36" spans="14:15" s="235" customFormat="1" x14ac:dyDescent="0.25">
      <c r="N36" s="291"/>
      <c r="O36" s="291"/>
    </row>
    <row r="37" spans="14:15" s="235" customFormat="1" x14ac:dyDescent="0.25">
      <c r="N37" s="291"/>
      <c r="O37" s="291"/>
    </row>
    <row r="38" spans="14:15" s="235" customFormat="1" x14ac:dyDescent="0.25">
      <c r="N38" s="291"/>
      <c r="O38" s="291"/>
    </row>
    <row r="39" spans="14:15" s="235" customFormat="1" x14ac:dyDescent="0.25">
      <c r="N39" s="291"/>
      <c r="O39" s="291"/>
    </row>
    <row r="40" spans="14:15" s="235" customFormat="1" x14ac:dyDescent="0.25">
      <c r="N40" s="291"/>
      <c r="O40" s="291"/>
    </row>
    <row r="41" spans="14:15" s="235" customFormat="1" x14ac:dyDescent="0.25">
      <c r="N41" s="291"/>
      <c r="O41" s="291"/>
    </row>
    <row r="42" spans="14:15" s="235" customFormat="1" x14ac:dyDescent="0.25">
      <c r="N42" s="291"/>
      <c r="O42" s="291"/>
    </row>
    <row r="43" spans="14:15" s="235" customFormat="1" x14ac:dyDescent="0.25">
      <c r="N43" s="291"/>
      <c r="O43" s="291"/>
    </row>
    <row r="44" spans="14:15" s="235" customFormat="1" x14ac:dyDescent="0.25">
      <c r="N44" s="291"/>
      <c r="O44" s="291"/>
    </row>
    <row r="45" spans="14:15" s="235" customFormat="1" x14ac:dyDescent="0.25">
      <c r="N45" s="291"/>
      <c r="O45" s="291"/>
    </row>
    <row r="46" spans="14:15" s="235" customFormat="1" x14ac:dyDescent="0.25">
      <c r="N46" s="291"/>
      <c r="O46" s="291"/>
    </row>
    <row r="47" spans="14:15" s="235" customFormat="1" x14ac:dyDescent="0.25">
      <c r="N47" s="291"/>
      <c r="O47" s="291"/>
    </row>
    <row r="48" spans="14:15" s="235" customFormat="1" x14ac:dyDescent="0.25">
      <c r="N48" s="291"/>
      <c r="O48" s="291"/>
    </row>
    <row r="49" spans="14:15" s="235" customFormat="1" x14ac:dyDescent="0.25">
      <c r="N49" s="291"/>
      <c r="O49" s="291"/>
    </row>
    <row r="50" spans="14:15" s="235" customFormat="1" x14ac:dyDescent="0.25">
      <c r="N50" s="291"/>
      <c r="O50" s="291"/>
    </row>
    <row r="51" spans="14:15" s="235" customFormat="1" x14ac:dyDescent="0.25">
      <c r="N51" s="291"/>
      <c r="O51" s="291"/>
    </row>
    <row r="52" spans="14:15" s="235" customFormat="1" x14ac:dyDescent="0.25">
      <c r="N52" s="291"/>
      <c r="O52" s="291"/>
    </row>
    <row r="53" spans="14:15" s="235" customFormat="1" x14ac:dyDescent="0.25">
      <c r="N53" s="291"/>
      <c r="O53" s="291"/>
    </row>
    <row r="54" spans="14:15" s="235" customFormat="1" x14ac:dyDescent="0.25">
      <c r="N54" s="291"/>
      <c r="O54" s="291"/>
    </row>
    <row r="55" spans="14:15" s="235" customFormat="1" x14ac:dyDescent="0.25">
      <c r="N55" s="291"/>
      <c r="O55" s="291"/>
    </row>
    <row r="56" spans="14:15" s="235" customFormat="1" x14ac:dyDescent="0.25">
      <c r="N56" s="291"/>
      <c r="O56" s="291"/>
    </row>
    <row r="57" spans="14:15" s="235" customFormat="1" x14ac:dyDescent="0.25">
      <c r="N57" s="291"/>
      <c r="O57" s="291"/>
    </row>
    <row r="58" spans="14:15" s="235" customFormat="1" x14ac:dyDescent="0.25">
      <c r="N58" s="291"/>
      <c r="O58" s="291"/>
    </row>
    <row r="59" spans="14:15" s="235" customFormat="1" x14ac:dyDescent="0.25">
      <c r="N59" s="291"/>
      <c r="O59" s="291"/>
    </row>
    <row r="60" spans="14:15" s="235" customFormat="1" x14ac:dyDescent="0.25">
      <c r="N60" s="291"/>
      <c r="O60" s="291"/>
    </row>
    <row r="61" spans="14:15" s="235" customFormat="1" x14ac:dyDescent="0.25">
      <c r="N61" s="291"/>
      <c r="O61" s="291"/>
    </row>
    <row r="62" spans="14:15" s="235" customFormat="1" x14ac:dyDescent="0.25">
      <c r="N62" s="291"/>
      <c r="O62" s="291"/>
    </row>
    <row r="63" spans="14:15" s="235" customFormat="1" x14ac:dyDescent="0.25">
      <c r="N63" s="291"/>
      <c r="O63" s="291"/>
    </row>
    <row r="64" spans="14:15" s="235" customFormat="1" x14ac:dyDescent="0.25">
      <c r="N64" s="291"/>
      <c r="O64" s="291"/>
    </row>
    <row r="65" spans="14:15" s="235" customFormat="1" x14ac:dyDescent="0.25">
      <c r="N65" s="291"/>
      <c r="O65" s="291"/>
    </row>
    <row r="66" spans="14:15" s="235" customFormat="1" x14ac:dyDescent="0.25">
      <c r="N66" s="291"/>
      <c r="O66" s="291"/>
    </row>
    <row r="67" spans="14:15" s="235" customFormat="1" x14ac:dyDescent="0.25">
      <c r="N67" s="291"/>
      <c r="O67" s="291"/>
    </row>
    <row r="68" spans="14:15" s="235" customFormat="1" x14ac:dyDescent="0.25">
      <c r="N68" s="291"/>
      <c r="O68" s="291"/>
    </row>
    <row r="69" spans="14:15" s="235" customFormat="1" x14ac:dyDescent="0.25">
      <c r="N69" s="291"/>
      <c r="O69" s="291"/>
    </row>
    <row r="70" spans="14:15" s="235" customFormat="1" x14ac:dyDescent="0.25">
      <c r="N70" s="291"/>
      <c r="O70" s="291"/>
    </row>
    <row r="71" spans="14:15" s="235" customFormat="1" x14ac:dyDescent="0.25">
      <c r="N71" s="291"/>
      <c r="O71" s="291"/>
    </row>
    <row r="72" spans="14:15" s="235" customFormat="1" x14ac:dyDescent="0.25">
      <c r="N72" s="291"/>
      <c r="O72" s="291"/>
    </row>
    <row r="73" spans="14:15" s="235" customFormat="1" x14ac:dyDescent="0.25">
      <c r="N73" s="291"/>
      <c r="O73" s="291"/>
    </row>
    <row r="74" spans="14:15" s="235" customFormat="1" x14ac:dyDescent="0.25">
      <c r="N74" s="291"/>
      <c r="O74" s="291"/>
    </row>
    <row r="75" spans="14:15" s="235" customFormat="1" x14ac:dyDescent="0.25">
      <c r="N75" s="291"/>
      <c r="O75" s="291"/>
    </row>
    <row r="76" spans="14:15" s="235" customFormat="1" x14ac:dyDescent="0.25">
      <c r="N76" s="291"/>
      <c r="O76" s="291"/>
    </row>
    <row r="77" spans="14:15" s="235" customFormat="1" x14ac:dyDescent="0.25">
      <c r="N77" s="291"/>
      <c r="O77" s="291"/>
    </row>
    <row r="78" spans="14:15" s="235" customFormat="1" x14ac:dyDescent="0.25">
      <c r="N78" s="291"/>
      <c r="O78" s="291"/>
    </row>
    <row r="79" spans="14:15" s="235" customFormat="1" x14ac:dyDescent="0.25">
      <c r="N79" s="291"/>
      <c r="O79" s="291"/>
    </row>
    <row r="80" spans="14:15" s="235" customFormat="1" x14ac:dyDescent="0.25">
      <c r="N80" s="291"/>
      <c r="O80" s="291"/>
    </row>
    <row r="81" spans="14:15" s="235" customFormat="1" x14ac:dyDescent="0.25">
      <c r="N81" s="291"/>
      <c r="O81" s="291"/>
    </row>
    <row r="82" spans="14:15" s="235" customFormat="1" x14ac:dyDescent="0.25">
      <c r="N82" s="291"/>
      <c r="O82" s="291"/>
    </row>
    <row r="83" spans="14:15" s="235" customFormat="1" x14ac:dyDescent="0.25">
      <c r="N83" s="291"/>
      <c r="O83" s="291"/>
    </row>
    <row r="84" spans="14:15" s="235" customFormat="1" x14ac:dyDescent="0.25">
      <c r="N84" s="291"/>
      <c r="O84" s="291"/>
    </row>
    <row r="85" spans="14:15" s="235" customFormat="1" x14ac:dyDescent="0.25">
      <c r="N85" s="291"/>
      <c r="O85" s="291"/>
    </row>
    <row r="86" spans="14:15" s="235" customFormat="1" x14ac:dyDescent="0.25">
      <c r="N86" s="291"/>
      <c r="O86" s="291"/>
    </row>
    <row r="87" spans="14:15" s="235" customFormat="1" x14ac:dyDescent="0.25">
      <c r="N87" s="291"/>
      <c r="O87" s="291"/>
    </row>
    <row r="88" spans="14:15" s="235" customFormat="1" x14ac:dyDescent="0.25">
      <c r="N88" s="291"/>
      <c r="O88" s="291"/>
    </row>
    <row r="89" spans="14:15" s="235" customFormat="1" x14ac:dyDescent="0.25">
      <c r="N89" s="291"/>
      <c r="O89" s="291"/>
    </row>
    <row r="90" spans="14:15" s="235" customFormat="1" x14ac:dyDescent="0.25">
      <c r="N90" s="291"/>
      <c r="O90" s="291"/>
    </row>
    <row r="91" spans="14:15" s="235" customFormat="1" x14ac:dyDescent="0.25">
      <c r="N91" s="291"/>
      <c r="O91" s="291"/>
    </row>
    <row r="92" spans="14:15" s="235" customFormat="1" x14ac:dyDescent="0.25">
      <c r="N92" s="291"/>
      <c r="O92" s="291"/>
    </row>
    <row r="93" spans="14:15" s="235" customFormat="1" x14ac:dyDescent="0.25">
      <c r="N93" s="291"/>
      <c r="O93" s="291"/>
    </row>
    <row r="94" spans="14:15" s="235" customFormat="1" x14ac:dyDescent="0.25">
      <c r="N94" s="291"/>
      <c r="O94" s="291"/>
    </row>
    <row r="95" spans="14:15" s="235" customFormat="1" x14ac:dyDescent="0.25">
      <c r="N95" s="291"/>
      <c r="O95" s="291"/>
    </row>
    <row r="96" spans="14:15" s="235" customFormat="1" x14ac:dyDescent="0.25">
      <c r="N96" s="291"/>
      <c r="O96" s="291"/>
    </row>
    <row r="97" spans="14:15" s="235" customFormat="1" x14ac:dyDescent="0.25">
      <c r="N97" s="291"/>
      <c r="O97" s="291"/>
    </row>
    <row r="98" spans="14:15" s="235" customFormat="1" x14ac:dyDescent="0.25">
      <c r="N98" s="291"/>
      <c r="O98" s="291"/>
    </row>
    <row r="99" spans="14:15" s="235" customFormat="1" x14ac:dyDescent="0.25">
      <c r="N99" s="291"/>
      <c r="O99" s="291"/>
    </row>
    <row r="100" spans="14:15" s="235" customFormat="1" x14ac:dyDescent="0.25">
      <c r="N100" s="291"/>
      <c r="O100" s="291"/>
    </row>
    <row r="101" spans="14:15" s="235" customFormat="1" x14ac:dyDescent="0.25">
      <c r="N101" s="291"/>
      <c r="O101" s="291"/>
    </row>
    <row r="102" spans="14:15" s="235" customFormat="1" x14ac:dyDescent="0.25">
      <c r="N102" s="291"/>
      <c r="O102" s="291"/>
    </row>
    <row r="103" spans="14:15" s="235" customFormat="1" x14ac:dyDescent="0.25">
      <c r="N103" s="291"/>
      <c r="O103" s="291"/>
    </row>
    <row r="104" spans="14:15" s="235" customFormat="1" x14ac:dyDescent="0.25">
      <c r="N104" s="291"/>
      <c r="O104" s="291"/>
    </row>
    <row r="105" spans="14:15" s="235" customFormat="1" x14ac:dyDescent="0.25">
      <c r="N105" s="291"/>
      <c r="O105" s="291"/>
    </row>
    <row r="106" spans="14:15" s="235" customFormat="1" x14ac:dyDescent="0.25">
      <c r="N106" s="291"/>
      <c r="O106" s="291"/>
    </row>
    <row r="107" spans="14:15" s="235" customFormat="1" x14ac:dyDescent="0.25">
      <c r="N107" s="291"/>
      <c r="O107" s="291"/>
    </row>
    <row r="108" spans="14:15" s="235" customFormat="1" x14ac:dyDescent="0.25">
      <c r="N108" s="291"/>
      <c r="O108" s="291"/>
    </row>
    <row r="109" spans="14:15" s="235" customFormat="1" x14ac:dyDescent="0.25">
      <c r="N109" s="291"/>
      <c r="O109" s="291"/>
    </row>
    <row r="110" spans="14:15" s="235" customFormat="1" x14ac:dyDescent="0.25">
      <c r="N110" s="291"/>
      <c r="O110" s="291"/>
    </row>
    <row r="111" spans="14:15" s="235" customFormat="1" x14ac:dyDescent="0.25">
      <c r="N111" s="291"/>
      <c r="O111" s="291"/>
    </row>
    <row r="112" spans="14:15" s="235" customFormat="1" x14ac:dyDescent="0.25">
      <c r="N112" s="291"/>
      <c r="O112" s="291"/>
    </row>
    <row r="113" spans="14:15" s="235" customFormat="1" x14ac:dyDescent="0.25">
      <c r="N113" s="291"/>
      <c r="O113" s="291"/>
    </row>
    <row r="114" spans="14:15" s="235" customFormat="1" x14ac:dyDescent="0.25">
      <c r="N114" s="291"/>
      <c r="O114" s="291"/>
    </row>
    <row r="115" spans="14:15" s="235" customFormat="1" x14ac:dyDescent="0.25">
      <c r="N115" s="291"/>
      <c r="O115" s="291"/>
    </row>
    <row r="116" spans="14:15" s="235" customFormat="1" x14ac:dyDescent="0.25">
      <c r="N116" s="291"/>
      <c r="O116" s="291"/>
    </row>
    <row r="117" spans="14:15" s="235" customFormat="1" x14ac:dyDescent="0.25">
      <c r="N117" s="291"/>
      <c r="O117" s="291"/>
    </row>
    <row r="118" spans="14:15" s="235" customFormat="1" x14ac:dyDescent="0.25">
      <c r="N118" s="291"/>
      <c r="O118" s="291"/>
    </row>
    <row r="119" spans="14:15" s="235" customFormat="1" x14ac:dyDescent="0.25">
      <c r="N119" s="291"/>
      <c r="O119" s="291"/>
    </row>
    <row r="120" spans="14:15" s="235" customFormat="1" x14ac:dyDescent="0.25">
      <c r="N120" s="291"/>
      <c r="O120" s="291"/>
    </row>
    <row r="121" spans="14:15" s="235" customFormat="1" x14ac:dyDescent="0.25">
      <c r="N121" s="291"/>
      <c r="O121" s="291"/>
    </row>
    <row r="122" spans="14:15" s="235" customFormat="1" x14ac:dyDescent="0.25">
      <c r="N122" s="291"/>
      <c r="O122" s="291"/>
    </row>
    <row r="123" spans="14:15" s="235" customFormat="1" x14ac:dyDescent="0.25">
      <c r="N123" s="291"/>
      <c r="O123" s="291"/>
    </row>
    <row r="124" spans="14:15" s="235" customFormat="1" x14ac:dyDescent="0.25">
      <c r="N124" s="291"/>
      <c r="O124" s="291"/>
    </row>
    <row r="125" spans="14:15" s="235" customFormat="1" x14ac:dyDescent="0.25">
      <c r="N125" s="291"/>
      <c r="O125" s="291"/>
    </row>
    <row r="126" spans="14:15" s="235" customFormat="1" x14ac:dyDescent="0.25">
      <c r="N126" s="291"/>
      <c r="O126" s="291"/>
    </row>
    <row r="127" spans="14:15" s="235" customFormat="1" x14ac:dyDescent="0.25">
      <c r="N127" s="291"/>
      <c r="O127" s="291"/>
    </row>
    <row r="128" spans="14:15" s="235" customFormat="1" x14ac:dyDescent="0.25">
      <c r="N128" s="291"/>
      <c r="O128" s="291"/>
    </row>
    <row r="129" spans="14:15" s="235" customFormat="1" x14ac:dyDescent="0.25">
      <c r="N129" s="291"/>
      <c r="O129" s="291"/>
    </row>
    <row r="130" spans="14:15" s="235" customFormat="1" x14ac:dyDescent="0.25">
      <c r="N130" s="291"/>
      <c r="O130" s="291"/>
    </row>
    <row r="131" spans="14:15" s="235" customFormat="1" x14ac:dyDescent="0.25">
      <c r="N131" s="291"/>
      <c r="O131" s="291"/>
    </row>
    <row r="132" spans="14:15" s="235" customFormat="1" x14ac:dyDescent="0.25">
      <c r="N132" s="291"/>
      <c r="O132" s="291"/>
    </row>
    <row r="133" spans="14:15" s="235" customFormat="1" x14ac:dyDescent="0.25">
      <c r="N133" s="291"/>
      <c r="O133" s="291"/>
    </row>
    <row r="134" spans="14:15" s="235" customFormat="1" x14ac:dyDescent="0.25">
      <c r="N134" s="291"/>
      <c r="O134" s="291"/>
    </row>
    <row r="135" spans="14:15" s="235" customFormat="1" x14ac:dyDescent="0.25">
      <c r="N135" s="291"/>
      <c r="O135" s="291"/>
    </row>
    <row r="136" spans="14:15" s="235" customFormat="1" x14ac:dyDescent="0.25">
      <c r="N136" s="291"/>
      <c r="O136" s="291"/>
    </row>
    <row r="137" spans="14:15" s="235" customFormat="1" x14ac:dyDescent="0.25">
      <c r="N137" s="291"/>
      <c r="O137" s="291"/>
    </row>
    <row r="138" spans="14:15" s="235" customFormat="1" x14ac:dyDescent="0.25">
      <c r="N138" s="291"/>
      <c r="O138" s="291"/>
    </row>
    <row r="139" spans="14:15" s="235" customFormat="1" x14ac:dyDescent="0.25">
      <c r="N139" s="291"/>
      <c r="O139" s="291"/>
    </row>
    <row r="140" spans="14:15" s="235" customFormat="1" x14ac:dyDescent="0.25">
      <c r="N140" s="291"/>
      <c r="O140" s="291"/>
    </row>
    <row r="141" spans="14:15" s="235" customFormat="1" x14ac:dyDescent="0.25">
      <c r="N141" s="291"/>
      <c r="O141" s="291"/>
    </row>
    <row r="142" spans="14:15" s="235" customFormat="1" x14ac:dyDescent="0.25">
      <c r="N142" s="291"/>
      <c r="O142" s="291"/>
    </row>
    <row r="143" spans="14:15" s="235" customFormat="1" x14ac:dyDescent="0.25">
      <c r="N143" s="291"/>
      <c r="O143" s="291"/>
    </row>
    <row r="144" spans="14:15" s="235" customFormat="1" x14ac:dyDescent="0.25">
      <c r="N144" s="291"/>
      <c r="O144" s="291"/>
    </row>
    <row r="145" spans="14:15" s="235" customFormat="1" x14ac:dyDescent="0.25">
      <c r="N145" s="291"/>
      <c r="O145" s="291"/>
    </row>
    <row r="146" spans="14:15" s="235" customFormat="1" x14ac:dyDescent="0.25">
      <c r="N146" s="291"/>
      <c r="O146" s="291"/>
    </row>
    <row r="147" spans="14:15" s="235" customFormat="1" x14ac:dyDescent="0.25">
      <c r="N147" s="291"/>
      <c r="O147" s="291"/>
    </row>
    <row r="148" spans="14:15" s="235" customFormat="1" x14ac:dyDescent="0.25">
      <c r="N148" s="291"/>
      <c r="O148" s="291"/>
    </row>
    <row r="149" spans="14:15" s="235" customFormat="1" x14ac:dyDescent="0.25">
      <c r="N149" s="291"/>
      <c r="O149" s="291"/>
    </row>
    <row r="150" spans="14:15" s="235" customFormat="1" x14ac:dyDescent="0.25">
      <c r="N150" s="291"/>
      <c r="O150" s="291"/>
    </row>
    <row r="151" spans="14:15" s="235" customFormat="1" x14ac:dyDescent="0.25">
      <c r="N151" s="291"/>
      <c r="O151" s="291"/>
    </row>
    <row r="152" spans="14:15" s="235" customFormat="1" x14ac:dyDescent="0.25">
      <c r="N152" s="291"/>
      <c r="O152" s="291"/>
    </row>
    <row r="153" spans="14:15" s="235" customFormat="1" x14ac:dyDescent="0.25">
      <c r="N153" s="291"/>
      <c r="O153" s="291"/>
    </row>
    <row r="154" spans="14:15" s="235" customFormat="1" x14ac:dyDescent="0.25">
      <c r="N154" s="291"/>
      <c r="O154" s="291"/>
    </row>
    <row r="155" spans="14:15" s="235" customFormat="1" x14ac:dyDescent="0.25">
      <c r="N155" s="291"/>
      <c r="O155" s="291"/>
    </row>
    <row r="156" spans="14:15" s="235" customFormat="1" x14ac:dyDescent="0.25">
      <c r="N156" s="291"/>
      <c r="O156" s="291"/>
    </row>
    <row r="157" spans="14:15" s="235" customFormat="1" x14ac:dyDescent="0.25">
      <c r="N157" s="291"/>
      <c r="O157" s="291"/>
    </row>
    <row r="158" spans="14:15" s="235" customFormat="1" x14ac:dyDescent="0.25">
      <c r="N158" s="291"/>
      <c r="O158" s="291"/>
    </row>
    <row r="159" spans="14:15" s="235" customFormat="1" x14ac:dyDescent="0.25">
      <c r="N159" s="291"/>
      <c r="O159" s="291"/>
    </row>
    <row r="160" spans="14:15" s="235" customFormat="1" x14ac:dyDescent="0.25">
      <c r="N160" s="291"/>
      <c r="O160" s="291"/>
    </row>
    <row r="161" spans="14:15" s="235" customFormat="1" x14ac:dyDescent="0.25">
      <c r="N161" s="291"/>
      <c r="O161" s="291"/>
    </row>
    <row r="162" spans="14:15" s="235" customFormat="1" x14ac:dyDescent="0.25">
      <c r="N162" s="291"/>
      <c r="O162" s="291"/>
    </row>
    <row r="163" spans="14:15" s="235" customFormat="1" x14ac:dyDescent="0.25">
      <c r="N163" s="291"/>
      <c r="O163" s="291"/>
    </row>
    <row r="164" spans="14:15" s="235" customFormat="1" x14ac:dyDescent="0.25">
      <c r="N164" s="291"/>
      <c r="O164" s="291"/>
    </row>
    <row r="165" spans="14:15" s="235" customFormat="1" x14ac:dyDescent="0.25">
      <c r="N165" s="291"/>
      <c r="O165" s="291"/>
    </row>
    <row r="166" spans="14:15" s="235" customFormat="1" x14ac:dyDescent="0.25">
      <c r="N166" s="291"/>
      <c r="O166" s="291"/>
    </row>
    <row r="167" spans="14:15" s="235" customFormat="1" x14ac:dyDescent="0.25">
      <c r="N167" s="291"/>
      <c r="O167" s="291"/>
    </row>
    <row r="168" spans="14:15" s="235" customFormat="1" x14ac:dyDescent="0.25">
      <c r="N168" s="291"/>
      <c r="O168" s="291"/>
    </row>
    <row r="169" spans="14:15" s="235" customFormat="1" x14ac:dyDescent="0.25">
      <c r="N169" s="291"/>
      <c r="O169" s="291"/>
    </row>
    <row r="170" spans="14:15" s="235" customFormat="1" x14ac:dyDescent="0.25">
      <c r="N170" s="291"/>
      <c r="O170" s="291"/>
    </row>
    <row r="171" spans="14:15" s="235" customFormat="1" x14ac:dyDescent="0.25">
      <c r="N171" s="291"/>
      <c r="O171" s="291"/>
    </row>
    <row r="172" spans="14:15" s="235" customFormat="1" x14ac:dyDescent="0.25">
      <c r="N172" s="291"/>
      <c r="O172" s="291"/>
    </row>
    <row r="173" spans="14:15" s="235" customFormat="1" x14ac:dyDescent="0.25">
      <c r="N173" s="291"/>
      <c r="O173" s="291"/>
    </row>
    <row r="174" spans="14:15" s="235" customFormat="1" x14ac:dyDescent="0.25">
      <c r="N174" s="291"/>
      <c r="O174" s="291"/>
    </row>
    <row r="175" spans="14:15" s="235" customFormat="1" x14ac:dyDescent="0.25">
      <c r="N175" s="291"/>
      <c r="O175" s="291"/>
    </row>
    <row r="176" spans="14:15" s="235" customFormat="1" x14ac:dyDescent="0.25">
      <c r="N176" s="291"/>
      <c r="O176" s="291"/>
    </row>
    <row r="177" spans="14:15" s="235" customFormat="1" x14ac:dyDescent="0.25">
      <c r="N177" s="291"/>
      <c r="O177" s="291"/>
    </row>
    <row r="178" spans="14:15" s="235" customFormat="1" x14ac:dyDescent="0.25">
      <c r="N178" s="291"/>
      <c r="O178" s="291"/>
    </row>
    <row r="179" spans="14:15" s="235" customFormat="1" x14ac:dyDescent="0.25">
      <c r="N179" s="291"/>
      <c r="O179" s="291"/>
    </row>
    <row r="180" spans="14:15" s="235" customFormat="1" x14ac:dyDescent="0.25">
      <c r="N180" s="291"/>
      <c r="O180" s="291"/>
    </row>
    <row r="181" spans="14:15" s="235" customFormat="1" x14ac:dyDescent="0.25">
      <c r="N181" s="291"/>
      <c r="O181" s="291"/>
    </row>
    <row r="182" spans="14:15" s="235" customFormat="1" x14ac:dyDescent="0.25">
      <c r="N182" s="291"/>
      <c r="O182" s="291"/>
    </row>
    <row r="183" spans="14:15" s="235" customFormat="1" x14ac:dyDescent="0.25">
      <c r="N183" s="291"/>
      <c r="O183" s="291"/>
    </row>
    <row r="184" spans="14:15" s="235" customFormat="1" x14ac:dyDescent="0.25">
      <c r="N184" s="291"/>
      <c r="O184" s="291"/>
    </row>
    <row r="185" spans="14:15" s="235" customFormat="1" x14ac:dyDescent="0.25">
      <c r="N185" s="291"/>
      <c r="O185" s="291"/>
    </row>
    <row r="186" spans="14:15" s="235" customFormat="1" x14ac:dyDescent="0.25">
      <c r="N186" s="291"/>
      <c r="O186" s="291"/>
    </row>
    <row r="187" spans="14:15" s="235" customFormat="1" x14ac:dyDescent="0.25">
      <c r="N187" s="291"/>
      <c r="O187" s="291"/>
    </row>
    <row r="188" spans="14:15" s="235" customFormat="1" x14ac:dyDescent="0.25">
      <c r="N188" s="291"/>
      <c r="O188" s="291"/>
    </row>
    <row r="189" spans="14:15" s="235" customFormat="1" x14ac:dyDescent="0.25">
      <c r="N189" s="291"/>
      <c r="O189" s="291"/>
    </row>
    <row r="190" spans="14:15" s="235" customFormat="1" x14ac:dyDescent="0.25">
      <c r="N190" s="291"/>
      <c r="O190" s="291"/>
    </row>
    <row r="191" spans="14:15" s="235" customFormat="1" x14ac:dyDescent="0.25">
      <c r="N191" s="291"/>
      <c r="O191" s="291"/>
    </row>
    <row r="192" spans="14:15" s="235" customFormat="1" x14ac:dyDescent="0.25">
      <c r="N192" s="291"/>
      <c r="O192" s="291"/>
    </row>
    <row r="193" spans="14:15" s="235" customFormat="1" x14ac:dyDescent="0.25">
      <c r="N193" s="291"/>
      <c r="O193" s="291"/>
    </row>
    <row r="194" spans="14:15" s="235" customFormat="1" x14ac:dyDescent="0.25">
      <c r="N194" s="291"/>
      <c r="O194" s="291"/>
    </row>
    <row r="195" spans="14:15" s="235" customFormat="1" x14ac:dyDescent="0.25">
      <c r="N195" s="291"/>
      <c r="O195" s="291"/>
    </row>
    <row r="196" spans="14:15" s="235" customFormat="1" x14ac:dyDescent="0.25">
      <c r="N196" s="291"/>
      <c r="O196" s="291"/>
    </row>
    <row r="197" spans="14:15" s="235" customFormat="1" x14ac:dyDescent="0.25">
      <c r="N197" s="291"/>
      <c r="O197" s="291"/>
    </row>
    <row r="198" spans="14:15" s="235" customFormat="1" x14ac:dyDescent="0.25">
      <c r="N198" s="291"/>
      <c r="O198" s="291"/>
    </row>
    <row r="199" spans="14:15" s="235" customFormat="1" x14ac:dyDescent="0.25">
      <c r="N199" s="291"/>
      <c r="O199" s="291"/>
    </row>
    <row r="200" spans="14:15" s="235" customFormat="1" x14ac:dyDescent="0.25">
      <c r="N200" s="291"/>
      <c r="O200" s="291"/>
    </row>
    <row r="201" spans="14:15" s="235" customFormat="1" x14ac:dyDescent="0.25">
      <c r="N201" s="291"/>
      <c r="O201" s="291"/>
    </row>
    <row r="202" spans="14:15" s="235" customFormat="1" x14ac:dyDescent="0.25">
      <c r="N202" s="291"/>
      <c r="O202" s="291"/>
    </row>
    <row r="203" spans="14:15" s="235" customFormat="1" x14ac:dyDescent="0.25">
      <c r="N203" s="291"/>
      <c r="O203" s="291"/>
    </row>
    <row r="204" spans="14:15" s="235" customFormat="1" x14ac:dyDescent="0.25">
      <c r="N204" s="291"/>
      <c r="O204" s="291"/>
    </row>
    <row r="205" spans="14:15" s="235" customFormat="1" x14ac:dyDescent="0.25">
      <c r="N205" s="291"/>
      <c r="O205" s="291"/>
    </row>
    <row r="206" spans="14:15" s="235" customFormat="1" x14ac:dyDescent="0.25">
      <c r="N206" s="291"/>
      <c r="O206" s="291"/>
    </row>
    <row r="207" spans="14:15" s="235" customFormat="1" x14ac:dyDescent="0.25">
      <c r="N207" s="291"/>
      <c r="O207" s="291"/>
    </row>
    <row r="208" spans="14:15" s="235" customFormat="1" x14ac:dyDescent="0.25">
      <c r="N208" s="291"/>
      <c r="O208" s="291"/>
    </row>
    <row r="209" spans="14:15" s="235" customFormat="1" x14ac:dyDescent="0.25">
      <c r="N209" s="291"/>
      <c r="O209" s="291"/>
    </row>
    <row r="210" spans="14:15" s="235" customFormat="1" x14ac:dyDescent="0.25">
      <c r="N210" s="291"/>
      <c r="O210" s="291"/>
    </row>
    <row r="211" spans="14:15" s="235" customFormat="1" x14ac:dyDescent="0.25">
      <c r="N211" s="291"/>
      <c r="O211" s="291"/>
    </row>
    <row r="212" spans="14:15" s="235" customFormat="1" x14ac:dyDescent="0.25">
      <c r="N212" s="291"/>
      <c r="O212" s="291"/>
    </row>
    <row r="213" spans="14:15" s="235" customFormat="1" x14ac:dyDescent="0.25">
      <c r="N213" s="291"/>
      <c r="O213" s="291"/>
    </row>
    <row r="214" spans="14:15" s="235" customFormat="1" x14ac:dyDescent="0.25">
      <c r="N214" s="291"/>
      <c r="O214" s="291"/>
    </row>
    <row r="215" spans="14:15" s="235" customFormat="1" x14ac:dyDescent="0.25">
      <c r="N215" s="291"/>
      <c r="O215" s="291"/>
    </row>
    <row r="216" spans="14:15" s="235" customFormat="1" x14ac:dyDescent="0.25">
      <c r="N216" s="291"/>
      <c r="O216" s="291"/>
    </row>
    <row r="217" spans="14:15" s="235" customFormat="1" x14ac:dyDescent="0.25">
      <c r="N217" s="291"/>
      <c r="O217" s="291"/>
    </row>
    <row r="218" spans="14:15" s="235" customFormat="1" x14ac:dyDescent="0.25">
      <c r="N218" s="291"/>
      <c r="O218" s="291"/>
    </row>
    <row r="219" spans="14:15" s="235" customFormat="1" x14ac:dyDescent="0.25">
      <c r="N219" s="291"/>
      <c r="O219" s="291"/>
    </row>
    <row r="220" spans="14:15" s="235" customFormat="1" x14ac:dyDescent="0.25">
      <c r="N220" s="291"/>
      <c r="O220" s="291"/>
    </row>
    <row r="221" spans="14:15" s="235" customFormat="1" x14ac:dyDescent="0.25">
      <c r="N221" s="291"/>
      <c r="O221" s="291"/>
    </row>
    <row r="222" spans="14:15" s="235" customFormat="1" x14ac:dyDescent="0.25">
      <c r="N222" s="291"/>
      <c r="O222" s="291"/>
    </row>
    <row r="223" spans="14:15" s="235" customFormat="1" x14ac:dyDescent="0.25">
      <c r="N223" s="291"/>
      <c r="O223" s="291"/>
    </row>
    <row r="224" spans="14:15" s="235" customFormat="1" x14ac:dyDescent="0.25">
      <c r="N224" s="291"/>
      <c r="O224" s="291"/>
    </row>
    <row r="225" spans="14:15" s="235" customFormat="1" x14ac:dyDescent="0.25">
      <c r="N225" s="291"/>
      <c r="O225" s="291"/>
    </row>
    <row r="226" spans="14:15" s="235" customFormat="1" x14ac:dyDescent="0.25">
      <c r="N226" s="291"/>
      <c r="O226" s="291"/>
    </row>
    <row r="227" spans="14:15" s="235" customFormat="1" x14ac:dyDescent="0.25">
      <c r="N227" s="291"/>
      <c r="O227" s="291"/>
    </row>
    <row r="228" spans="14:15" s="235" customFormat="1" x14ac:dyDescent="0.25">
      <c r="N228" s="291"/>
      <c r="O228" s="291"/>
    </row>
    <row r="229" spans="14:15" s="235" customFormat="1" x14ac:dyDescent="0.25">
      <c r="N229" s="291"/>
      <c r="O229" s="291"/>
    </row>
    <row r="230" spans="14:15" s="235" customFormat="1" x14ac:dyDescent="0.25">
      <c r="N230" s="291"/>
      <c r="O230" s="291"/>
    </row>
    <row r="231" spans="14:15" s="235" customFormat="1" x14ac:dyDescent="0.25">
      <c r="N231" s="291"/>
      <c r="O231" s="291"/>
    </row>
    <row r="232" spans="14:15" s="235" customFormat="1" x14ac:dyDescent="0.25">
      <c r="N232" s="291"/>
      <c r="O232" s="291"/>
    </row>
    <row r="233" spans="14:15" s="235" customFormat="1" x14ac:dyDescent="0.25">
      <c r="N233" s="291"/>
      <c r="O233" s="291"/>
    </row>
    <row r="234" spans="14:15" s="235" customFormat="1" x14ac:dyDescent="0.25">
      <c r="N234" s="291"/>
      <c r="O234" s="291"/>
    </row>
    <row r="235" spans="14:15" s="235" customFormat="1" x14ac:dyDescent="0.25">
      <c r="N235" s="291"/>
      <c r="O235" s="291"/>
    </row>
    <row r="236" spans="14:15" s="235" customFormat="1" x14ac:dyDescent="0.25">
      <c r="N236" s="291"/>
      <c r="O236" s="291"/>
    </row>
    <row r="237" spans="14:15" s="235" customFormat="1" x14ac:dyDescent="0.25">
      <c r="N237" s="291"/>
      <c r="O237" s="291"/>
    </row>
    <row r="238" spans="14:15" s="235" customFormat="1" x14ac:dyDescent="0.25">
      <c r="N238" s="291"/>
      <c r="O238" s="291"/>
    </row>
    <row r="239" spans="14:15" s="235" customFormat="1" x14ac:dyDescent="0.25">
      <c r="N239" s="291"/>
      <c r="O239" s="291"/>
    </row>
    <row r="240" spans="14:15" s="235" customFormat="1" x14ac:dyDescent="0.25">
      <c r="N240" s="291"/>
      <c r="O240" s="291"/>
    </row>
    <row r="241" spans="14:15" s="235" customFormat="1" x14ac:dyDescent="0.25">
      <c r="N241" s="291"/>
      <c r="O241" s="291"/>
    </row>
    <row r="242" spans="14:15" s="235" customFormat="1" x14ac:dyDescent="0.25">
      <c r="N242" s="291"/>
      <c r="O242" s="291"/>
    </row>
    <row r="243" spans="14:15" s="235" customFormat="1" x14ac:dyDescent="0.25">
      <c r="N243" s="291"/>
      <c r="O243" s="291"/>
    </row>
    <row r="244" spans="14:15" s="235" customFormat="1" x14ac:dyDescent="0.25">
      <c r="N244" s="291"/>
      <c r="O244" s="291"/>
    </row>
    <row r="245" spans="14:15" s="235" customFormat="1" x14ac:dyDescent="0.25">
      <c r="N245" s="291"/>
      <c r="O245" s="291"/>
    </row>
    <row r="246" spans="14:15" s="235" customFormat="1" x14ac:dyDescent="0.25">
      <c r="N246" s="291"/>
      <c r="O246" s="291"/>
    </row>
    <row r="247" spans="14:15" s="235" customFormat="1" x14ac:dyDescent="0.25">
      <c r="N247" s="291"/>
      <c r="O247" s="291"/>
    </row>
    <row r="248" spans="14:15" s="235" customFormat="1" x14ac:dyDescent="0.25">
      <c r="N248" s="291"/>
      <c r="O248" s="291"/>
    </row>
    <row r="249" spans="14:15" s="235" customFormat="1" x14ac:dyDescent="0.25">
      <c r="N249" s="291"/>
      <c r="O249" s="291"/>
    </row>
    <row r="250" spans="14:15" s="235" customFormat="1" x14ac:dyDescent="0.25">
      <c r="N250" s="291"/>
      <c r="O250" s="291"/>
    </row>
    <row r="251" spans="14:15" s="235" customFormat="1" x14ac:dyDescent="0.25">
      <c r="N251" s="291"/>
      <c r="O251" s="291"/>
    </row>
    <row r="252" spans="14:15" s="235" customFormat="1" x14ac:dyDescent="0.25">
      <c r="N252" s="291"/>
      <c r="O252" s="291"/>
    </row>
    <row r="253" spans="14:15" s="235" customFormat="1" x14ac:dyDescent="0.25">
      <c r="N253" s="291"/>
      <c r="O253" s="291"/>
    </row>
    <row r="254" spans="14:15" s="235" customFormat="1" x14ac:dyDescent="0.25">
      <c r="N254" s="291"/>
      <c r="O254" s="291"/>
    </row>
    <row r="255" spans="14:15" s="235" customFormat="1" x14ac:dyDescent="0.25">
      <c r="N255" s="291"/>
      <c r="O255" s="291"/>
    </row>
    <row r="256" spans="14:15" s="235" customFormat="1" x14ac:dyDescent="0.25">
      <c r="N256" s="291"/>
      <c r="O256" s="291"/>
    </row>
    <row r="257" spans="14:15" s="235" customFormat="1" x14ac:dyDescent="0.25">
      <c r="N257" s="291"/>
      <c r="O257" s="291"/>
    </row>
    <row r="258" spans="14:15" s="235" customFormat="1" x14ac:dyDescent="0.25">
      <c r="N258" s="291"/>
      <c r="O258" s="291"/>
    </row>
    <row r="259" spans="14:15" s="235" customFormat="1" x14ac:dyDescent="0.25">
      <c r="N259" s="291"/>
      <c r="O259" s="291"/>
    </row>
    <row r="260" spans="14:15" s="235" customFormat="1" x14ac:dyDescent="0.25">
      <c r="N260" s="291"/>
      <c r="O260" s="291"/>
    </row>
    <row r="261" spans="14:15" s="235" customFormat="1" x14ac:dyDescent="0.25">
      <c r="N261" s="291"/>
      <c r="O261" s="291"/>
    </row>
    <row r="262" spans="14:15" s="235" customFormat="1" x14ac:dyDescent="0.25">
      <c r="N262" s="291"/>
      <c r="O262" s="291"/>
    </row>
    <row r="263" spans="14:15" s="235" customFormat="1" x14ac:dyDescent="0.25">
      <c r="N263" s="291"/>
      <c r="O263" s="291"/>
    </row>
    <row r="264" spans="14:15" s="235" customFormat="1" x14ac:dyDescent="0.25">
      <c r="N264" s="291"/>
      <c r="O264" s="291"/>
    </row>
    <row r="265" spans="14:15" s="235" customFormat="1" x14ac:dyDescent="0.25">
      <c r="N265" s="291"/>
      <c r="O265" s="291"/>
    </row>
    <row r="266" spans="14:15" s="235" customFormat="1" x14ac:dyDescent="0.25">
      <c r="N266" s="291"/>
      <c r="O266" s="291"/>
    </row>
    <row r="267" spans="14:15" s="235" customFormat="1" x14ac:dyDescent="0.25">
      <c r="N267" s="291"/>
      <c r="O267" s="291"/>
    </row>
    <row r="268" spans="14:15" s="235" customFormat="1" x14ac:dyDescent="0.25">
      <c r="N268" s="291"/>
      <c r="O268" s="291"/>
    </row>
    <row r="269" spans="14:15" s="235" customFormat="1" x14ac:dyDescent="0.25">
      <c r="N269" s="291"/>
      <c r="O269" s="291"/>
    </row>
    <row r="270" spans="14:15" s="235" customFormat="1" x14ac:dyDescent="0.25">
      <c r="N270" s="291"/>
      <c r="O270" s="291"/>
    </row>
    <row r="271" spans="14:15" s="235" customFormat="1" x14ac:dyDescent="0.25">
      <c r="N271" s="291"/>
      <c r="O271" s="291"/>
    </row>
    <row r="272" spans="14:15" s="235" customFormat="1" x14ac:dyDescent="0.25">
      <c r="N272" s="291"/>
      <c r="O272" s="291"/>
    </row>
    <row r="273" spans="14:15" s="235" customFormat="1" x14ac:dyDescent="0.25">
      <c r="N273" s="291"/>
      <c r="O273" s="291"/>
    </row>
    <row r="274" spans="14:15" s="235" customFormat="1" x14ac:dyDescent="0.25">
      <c r="N274" s="291"/>
      <c r="O274" s="291"/>
    </row>
    <row r="275" spans="14:15" s="235" customFormat="1" x14ac:dyDescent="0.25">
      <c r="N275" s="291"/>
      <c r="O275" s="291"/>
    </row>
    <row r="276" spans="14:15" s="235" customFormat="1" x14ac:dyDescent="0.25">
      <c r="N276" s="291"/>
      <c r="O276" s="291"/>
    </row>
    <row r="277" spans="14:15" s="235" customFormat="1" x14ac:dyDescent="0.25">
      <c r="N277" s="291"/>
      <c r="O277" s="291"/>
    </row>
    <row r="278" spans="14:15" s="235" customFormat="1" x14ac:dyDescent="0.25">
      <c r="N278" s="291"/>
      <c r="O278" s="291"/>
    </row>
    <row r="279" spans="14:15" s="235" customFormat="1" x14ac:dyDescent="0.25">
      <c r="N279" s="291"/>
      <c r="O279" s="291"/>
    </row>
    <row r="280" spans="14:15" s="235" customFormat="1" x14ac:dyDescent="0.25">
      <c r="N280" s="291"/>
      <c r="O280" s="291"/>
    </row>
    <row r="281" spans="14:15" s="235" customFormat="1" x14ac:dyDescent="0.25">
      <c r="N281" s="291"/>
      <c r="O281" s="291"/>
    </row>
    <row r="282" spans="14:15" s="235" customFormat="1" x14ac:dyDescent="0.25">
      <c r="N282" s="291"/>
      <c r="O282" s="291"/>
    </row>
    <row r="283" spans="14:15" s="235" customFormat="1" x14ac:dyDescent="0.25">
      <c r="N283" s="291"/>
      <c r="O283" s="291"/>
    </row>
    <row r="284" spans="14:15" s="235" customFormat="1" x14ac:dyDescent="0.25">
      <c r="N284" s="291"/>
      <c r="O284" s="291"/>
    </row>
    <row r="285" spans="14:15" s="235" customFormat="1" x14ac:dyDescent="0.25">
      <c r="N285" s="291"/>
      <c r="O285" s="291"/>
    </row>
    <row r="286" spans="14:15" s="235" customFormat="1" x14ac:dyDescent="0.25">
      <c r="N286" s="291"/>
      <c r="O286" s="291"/>
    </row>
    <row r="287" spans="14:15" s="235" customFormat="1" x14ac:dyDescent="0.25">
      <c r="N287" s="291"/>
      <c r="O287" s="291"/>
    </row>
    <row r="288" spans="14:15" s="235" customFormat="1" x14ac:dyDescent="0.25">
      <c r="N288" s="291"/>
      <c r="O288" s="291"/>
    </row>
    <row r="289" spans="14:15" s="235" customFormat="1" x14ac:dyDescent="0.25">
      <c r="N289" s="291"/>
      <c r="O289" s="291"/>
    </row>
    <row r="290" spans="14:15" s="235" customFormat="1" x14ac:dyDescent="0.25">
      <c r="N290" s="291"/>
      <c r="O290" s="291"/>
    </row>
    <row r="291" spans="14:15" s="235" customFormat="1" x14ac:dyDescent="0.25">
      <c r="N291" s="291"/>
      <c r="O291" s="291"/>
    </row>
    <row r="292" spans="14:15" s="235" customFormat="1" x14ac:dyDescent="0.25">
      <c r="N292" s="291"/>
      <c r="O292" s="291"/>
    </row>
    <row r="293" spans="14:15" s="235" customFormat="1" x14ac:dyDescent="0.25">
      <c r="N293" s="291"/>
      <c r="O293" s="291"/>
    </row>
    <row r="294" spans="14:15" s="235" customFormat="1" x14ac:dyDescent="0.25">
      <c r="N294" s="291"/>
      <c r="O294" s="291"/>
    </row>
    <row r="295" spans="14:15" s="235" customFormat="1" x14ac:dyDescent="0.25">
      <c r="N295" s="291"/>
      <c r="O295" s="291"/>
    </row>
    <row r="296" spans="14:15" s="235" customFormat="1" x14ac:dyDescent="0.25">
      <c r="N296" s="291"/>
      <c r="O296" s="291"/>
    </row>
    <row r="297" spans="14:15" s="235" customFormat="1" x14ac:dyDescent="0.25">
      <c r="N297" s="291"/>
      <c r="O297" s="291"/>
    </row>
    <row r="298" spans="14:15" s="235" customFormat="1" x14ac:dyDescent="0.25">
      <c r="N298" s="291"/>
      <c r="O298" s="291"/>
    </row>
    <row r="299" spans="14:15" s="235" customFormat="1" x14ac:dyDescent="0.25">
      <c r="N299" s="291"/>
      <c r="O299" s="291"/>
    </row>
    <row r="300" spans="14:15" s="235" customFormat="1" x14ac:dyDescent="0.25">
      <c r="N300" s="291"/>
      <c r="O300" s="291"/>
    </row>
    <row r="301" spans="14:15" s="235" customFormat="1" x14ac:dyDescent="0.25">
      <c r="N301" s="291"/>
      <c r="O301" s="291"/>
    </row>
    <row r="302" spans="14:15" s="235" customFormat="1" x14ac:dyDescent="0.25">
      <c r="N302" s="291"/>
      <c r="O302" s="291"/>
    </row>
  </sheetData>
  <sheetProtection algorithmName="SHA-512" hashValue="8pZBy6j5xr9tX+A4DCpMwYMHiLU6Y1PuHxtYFn0XjbTmng0d2bh3Xf6MYX8tRU2GDUozTnh/HRK5B67OboDfrQ==" saltValue="1F8r5akxS6iqmpmI8F4evg==" spinCount="100000" sheet="1" autoFilter="0"/>
  <mergeCells count="18">
    <mergeCell ref="C14:E14"/>
    <mergeCell ref="B2:B4"/>
    <mergeCell ref="B11:D12"/>
    <mergeCell ref="F11:F12"/>
    <mergeCell ref="B13:D13"/>
    <mergeCell ref="B16:C16"/>
    <mergeCell ref="B17:C17"/>
    <mergeCell ref="B19:C19"/>
    <mergeCell ref="B20:C20"/>
    <mergeCell ref="B21:C21"/>
    <mergeCell ref="B18:C18"/>
    <mergeCell ref="B27:H27"/>
    <mergeCell ref="E22:G22"/>
    <mergeCell ref="B23:C23"/>
    <mergeCell ref="E23:G25"/>
    <mergeCell ref="B24:C24"/>
    <mergeCell ref="B25:C25"/>
    <mergeCell ref="B22:C22"/>
  </mergeCells>
  <hyperlinks>
    <hyperlink ref="B2" r:id="rId1" display="mailto:schoolfinanceteam@derby.gov.uk" xr:uid="{24C08BD5-A2B7-4E9B-9B0E-23005D30E659}"/>
  </hyperlinks>
  <pageMargins left="0.7" right="0.7" top="0.75" bottom="0.75" header="0.3" footer="0.3"/>
  <pageSetup paperSize="9"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0761D1F-9396-4E57-893D-A8E6790E731B}">
          <x14:formula1>
            <xm:f>'PVI Provider Lookup'!$A$6:$A$182</xm:f>
          </x14:formula1>
          <xm:sqref>B13:D13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8D077-A565-46A8-BCCE-43F84FCAE7FA}">
  <sheetPr codeName="Sheet10">
    <tabColor rgb="FF7030A0"/>
  </sheetPr>
  <dimension ref="A1:V38"/>
  <sheetViews>
    <sheetView workbookViewId="0"/>
  </sheetViews>
  <sheetFormatPr defaultColWidth="9.1796875" defaultRowHeight="12.5" x14ac:dyDescent="0.25"/>
  <cols>
    <col min="1" max="1" width="14.1796875" style="2" customWidth="1"/>
    <col min="2" max="2" width="14.1796875" style="8" customWidth="1"/>
    <col min="3" max="3" width="45.81640625" style="2" customWidth="1"/>
    <col min="4" max="4" width="4.453125" style="2" customWidth="1"/>
    <col min="5" max="5" width="9.54296875" style="2" bestFit="1" customWidth="1"/>
    <col min="6" max="6" width="12.1796875" style="2" customWidth="1"/>
    <col min="7" max="7" width="13.1796875" style="8" customWidth="1"/>
    <col min="8" max="8" width="13.54296875" style="8" customWidth="1"/>
    <col min="9" max="9" width="12.1796875" style="8" customWidth="1"/>
    <col min="10" max="10" width="12.54296875" style="8" customWidth="1"/>
    <col min="11" max="11" width="11.1796875" style="8" bestFit="1" customWidth="1"/>
    <col min="12" max="12" width="11" style="8" customWidth="1"/>
    <col min="13" max="13" width="11.1796875" style="8" bestFit="1" customWidth="1"/>
    <col min="14" max="14" width="10.1796875" style="8" bestFit="1" customWidth="1"/>
    <col min="15" max="15" width="11.81640625" style="8" customWidth="1"/>
    <col min="16" max="16" width="11.54296875" style="8" customWidth="1"/>
    <col min="17" max="17" width="14.453125" style="8" customWidth="1"/>
    <col min="18" max="18" width="11.1796875" style="8" bestFit="1" customWidth="1"/>
    <col min="19" max="19" width="11.81640625" style="8" customWidth="1"/>
    <col min="20" max="20" width="12.81640625" style="8" customWidth="1"/>
    <col min="21" max="21" width="16.81640625" style="2" customWidth="1"/>
    <col min="22" max="22" width="3.54296875" style="2" customWidth="1"/>
    <col min="23" max="16384" width="9.1796875" style="2"/>
  </cols>
  <sheetData>
    <row r="1" spans="1:22" x14ac:dyDescent="0.25">
      <c r="C1" s="43"/>
      <c r="D1" s="43"/>
      <c r="E1" s="43"/>
      <c r="F1" s="43"/>
      <c r="G1" s="43"/>
      <c r="H1" s="43"/>
      <c r="I1" s="43"/>
      <c r="J1" s="43"/>
      <c r="K1" s="43"/>
      <c r="L1" s="43"/>
      <c r="M1" s="43"/>
      <c r="N1" s="43"/>
      <c r="O1" s="44"/>
      <c r="P1" s="44"/>
    </row>
    <row r="6" spans="1:22" ht="36" customHeight="1" x14ac:dyDescent="0.25">
      <c r="C6" s="9"/>
      <c r="D6" s="9"/>
      <c r="E6" s="9"/>
      <c r="F6" s="9"/>
      <c r="G6" s="805" t="s">
        <v>580</v>
      </c>
      <c r="H6" s="805"/>
      <c r="I6" s="805" t="s">
        <v>243</v>
      </c>
      <c r="J6" s="805"/>
      <c r="K6" s="806" t="s">
        <v>581</v>
      </c>
      <c r="L6" s="806"/>
      <c r="M6" s="806" t="s">
        <v>582</v>
      </c>
      <c r="N6" s="806"/>
      <c r="O6" s="806" t="s">
        <v>583</v>
      </c>
      <c r="P6" s="806"/>
      <c r="Q6" s="805" t="s">
        <v>584</v>
      </c>
      <c r="R6" s="805"/>
      <c r="S6" s="805" t="s">
        <v>585</v>
      </c>
      <c r="T6" s="805"/>
    </row>
    <row r="7" spans="1:22" ht="13" x14ac:dyDescent="0.25">
      <c r="C7" s="9"/>
      <c r="D7" s="9"/>
      <c r="E7" s="33" t="s">
        <v>265</v>
      </c>
      <c r="F7" s="33" t="s">
        <v>197</v>
      </c>
      <c r="G7" s="32" t="s">
        <v>265</v>
      </c>
      <c r="H7" s="32" t="s">
        <v>197</v>
      </c>
      <c r="I7" s="32" t="s">
        <v>265</v>
      </c>
      <c r="J7" s="32" t="s">
        <v>197</v>
      </c>
      <c r="K7" s="32" t="s">
        <v>265</v>
      </c>
      <c r="L7" s="32" t="s">
        <v>197</v>
      </c>
      <c r="M7" s="32" t="s">
        <v>265</v>
      </c>
      <c r="N7" s="32" t="s">
        <v>197</v>
      </c>
      <c r="O7" s="32" t="s">
        <v>265</v>
      </c>
      <c r="P7" s="32" t="s">
        <v>197</v>
      </c>
      <c r="Q7" s="32" t="s">
        <v>265</v>
      </c>
      <c r="R7" s="32" t="s">
        <v>197</v>
      </c>
      <c r="S7" s="32" t="s">
        <v>265</v>
      </c>
      <c r="T7" s="32" t="s">
        <v>197</v>
      </c>
      <c r="U7" s="32" t="s">
        <v>195</v>
      </c>
    </row>
    <row r="8" spans="1:22" ht="13" x14ac:dyDescent="0.25">
      <c r="C8" s="803" t="s">
        <v>586</v>
      </c>
      <c r="D8" s="804"/>
      <c r="E8" s="38">
        <v>6895</v>
      </c>
      <c r="F8" s="38"/>
      <c r="G8" s="32">
        <v>12.88</v>
      </c>
      <c r="H8" s="32"/>
      <c r="I8" s="32">
        <v>20.27</v>
      </c>
      <c r="J8" s="32"/>
      <c r="K8" s="32">
        <v>27.13</v>
      </c>
      <c r="L8" s="32"/>
      <c r="M8" s="32">
        <v>16.59</v>
      </c>
      <c r="N8" s="32"/>
      <c r="O8" s="32">
        <f>4.36+6.82</f>
        <v>11.18</v>
      </c>
      <c r="P8" s="32"/>
      <c r="Q8" s="32">
        <f>SUM(G8:P8)</f>
        <v>88.050000000000011</v>
      </c>
      <c r="R8" s="32"/>
      <c r="S8" s="35">
        <f>E8*Q8</f>
        <v>607104.75000000012</v>
      </c>
      <c r="T8" s="35"/>
      <c r="U8" s="231">
        <f>S8</f>
        <v>607104.75000000012</v>
      </c>
    </row>
    <row r="9" spans="1:22" ht="13" x14ac:dyDescent="0.25">
      <c r="C9" s="803" t="s">
        <v>587</v>
      </c>
      <c r="D9" s="804"/>
      <c r="E9" s="38"/>
      <c r="F9" s="38">
        <v>3775.5</v>
      </c>
      <c r="G9" s="32"/>
      <c r="H9" s="32">
        <v>12.88</v>
      </c>
      <c r="I9" s="32"/>
      <c r="J9" s="32">
        <v>20.27</v>
      </c>
      <c r="K9" s="32"/>
      <c r="L9" s="32">
        <v>27.13</v>
      </c>
      <c r="M9" s="32"/>
      <c r="N9" s="32">
        <v>16.59</v>
      </c>
      <c r="O9" s="32"/>
      <c r="P9" s="32">
        <v>0</v>
      </c>
      <c r="Q9" s="32"/>
      <c r="R9" s="32">
        <f>SUM(G9:P9)</f>
        <v>76.87</v>
      </c>
      <c r="S9" s="35"/>
      <c r="T9" s="35">
        <f>F9*R9</f>
        <v>290222.685</v>
      </c>
      <c r="U9" s="231">
        <f>T9</f>
        <v>290222.685</v>
      </c>
    </row>
    <row r="10" spans="1:22" x14ac:dyDescent="0.25">
      <c r="E10" s="12"/>
      <c r="F10" s="12"/>
    </row>
    <row r="11" spans="1:22" x14ac:dyDescent="0.25">
      <c r="E11" s="12"/>
      <c r="F11" s="12"/>
    </row>
    <row r="12" spans="1:22" ht="14.5" x14ac:dyDescent="0.35">
      <c r="A12" s="436" t="s">
        <v>1153</v>
      </c>
      <c r="B12" s="31"/>
      <c r="C12" s="33" t="s">
        <v>751</v>
      </c>
      <c r="D12" s="33"/>
      <c r="E12" s="34">
        <f t="shared" ref="E12:F12" si="0">SUM(E13:E38)</f>
        <v>6895</v>
      </c>
      <c r="F12" s="34">
        <f t="shared" si="0"/>
        <v>3775.5</v>
      </c>
      <c r="G12" s="35">
        <f>SUM(G13:G38)</f>
        <v>88807.6</v>
      </c>
      <c r="H12" s="35">
        <f>SUM(H13:H38)</f>
        <v>48628.44</v>
      </c>
      <c r="I12" s="35">
        <f t="shared" ref="I12:U12" si="1">SUM(I13:I38)</f>
        <v>139761.65000000002</v>
      </c>
      <c r="J12" s="35">
        <f t="shared" si="1"/>
        <v>76529.385000000009</v>
      </c>
      <c r="K12" s="35">
        <f t="shared" si="1"/>
        <v>187061.34999999998</v>
      </c>
      <c r="L12" s="35">
        <f t="shared" si="1"/>
        <v>102429.315</v>
      </c>
      <c r="M12" s="35">
        <f t="shared" si="1"/>
        <v>114388.05</v>
      </c>
      <c r="N12" s="35">
        <f t="shared" si="1"/>
        <v>62635.544999999998</v>
      </c>
      <c r="O12" s="35">
        <f t="shared" si="1"/>
        <v>77086.100000000006</v>
      </c>
      <c r="P12" s="35">
        <f t="shared" si="1"/>
        <v>0</v>
      </c>
      <c r="Q12" s="31"/>
      <c r="R12" s="31"/>
      <c r="S12" s="35">
        <f>SUM(S13:S38)</f>
        <v>607104.74999999988</v>
      </c>
      <c r="T12" s="35">
        <f>SUM(T13:T38)</f>
        <v>290222.685</v>
      </c>
      <c r="U12" s="35">
        <f t="shared" si="1"/>
        <v>897327.43499999982</v>
      </c>
      <c r="V12" s="9"/>
    </row>
    <row r="13" spans="1:22" x14ac:dyDescent="0.25">
      <c r="A13" s="31">
        <v>131401</v>
      </c>
      <c r="B13" s="31">
        <v>8312001</v>
      </c>
      <c r="C13" s="30" t="s">
        <v>61</v>
      </c>
      <c r="D13" s="30" t="s">
        <v>588</v>
      </c>
      <c r="E13" s="36">
        <f>VLOOKUP(B13,'ISB new'!B:G,4,FALSE)</f>
        <v>309</v>
      </c>
      <c r="F13" s="36">
        <f>VLOOKUP(B13,'ISB new'!B:G,5,FALSE)</f>
        <v>0</v>
      </c>
      <c r="G13" s="37">
        <f>E13*$G$8</f>
        <v>3979.92</v>
      </c>
      <c r="H13" s="37">
        <f>F13*$H$9</f>
        <v>0</v>
      </c>
      <c r="I13" s="37">
        <f>E13*$I$8</f>
        <v>6263.43</v>
      </c>
      <c r="J13" s="37">
        <f>F13*$J$9</f>
        <v>0</v>
      </c>
      <c r="K13" s="37">
        <f>E13*$K$8</f>
        <v>8383.17</v>
      </c>
      <c r="L13" s="37">
        <f>F13*$L$9</f>
        <v>0</v>
      </c>
      <c r="M13" s="37">
        <f>E13*$M$8</f>
        <v>5126.3100000000004</v>
      </c>
      <c r="N13" s="37">
        <f>F13*$N$9</f>
        <v>0</v>
      </c>
      <c r="O13" s="37">
        <f>E13*$O$8</f>
        <v>3454.62</v>
      </c>
      <c r="P13" s="37">
        <f>F13*$P$9</f>
        <v>0</v>
      </c>
      <c r="Q13" s="31"/>
      <c r="R13" s="31"/>
      <c r="S13" s="37">
        <f t="shared" ref="S13:S38" si="2">E13*$Q$8</f>
        <v>27207.450000000004</v>
      </c>
      <c r="T13" s="37">
        <f t="shared" ref="T13:T38" si="3">F13*$R$9</f>
        <v>0</v>
      </c>
      <c r="U13" s="37">
        <f>SUM(S13:T13)</f>
        <v>27207.450000000004</v>
      </c>
    </row>
    <row r="14" spans="1:22" x14ac:dyDescent="0.25">
      <c r="A14" s="31">
        <v>131799</v>
      </c>
      <c r="B14" s="31">
        <v>8312003</v>
      </c>
      <c r="C14" s="30" t="s">
        <v>62</v>
      </c>
      <c r="D14" s="30" t="s">
        <v>588</v>
      </c>
      <c r="E14" s="36">
        <f>VLOOKUP(B14,'ISB new'!B:G,4,FALSE)</f>
        <v>197</v>
      </c>
      <c r="F14" s="36">
        <f>VLOOKUP(B14,'ISB new'!B:G,5,FALSE)</f>
        <v>0</v>
      </c>
      <c r="G14" s="37">
        <f t="shared" ref="G14:G38" si="4">E14*$G$8</f>
        <v>2537.36</v>
      </c>
      <c r="H14" s="37">
        <f t="shared" ref="H14:H38" si="5">F14*$H$9</f>
        <v>0</v>
      </c>
      <c r="I14" s="37">
        <f t="shared" ref="I14:I38" si="6">E14*$I$8</f>
        <v>3993.19</v>
      </c>
      <c r="J14" s="37">
        <f t="shared" ref="J14:J38" si="7">F14*$J$9</f>
        <v>0</v>
      </c>
      <c r="K14" s="37">
        <f t="shared" ref="K14:K38" si="8">E14*$K$8</f>
        <v>5344.61</v>
      </c>
      <c r="L14" s="37">
        <f t="shared" ref="L14:L38" si="9">F14*$L$9</f>
        <v>0</v>
      </c>
      <c r="M14" s="37">
        <f t="shared" ref="M14:M38" si="10">E14*$M$8</f>
        <v>3268.23</v>
      </c>
      <c r="N14" s="37">
        <f t="shared" ref="N14:N38" si="11">F14*$N$9</f>
        <v>0</v>
      </c>
      <c r="O14" s="37">
        <f t="shared" ref="O14:O38" si="12">E14*$O$8</f>
        <v>2202.46</v>
      </c>
      <c r="P14" s="37">
        <f t="shared" ref="P14:P38" si="13">F14*$P$9</f>
        <v>0</v>
      </c>
      <c r="Q14" s="31"/>
      <c r="R14" s="31"/>
      <c r="S14" s="37">
        <f t="shared" si="2"/>
        <v>17345.850000000002</v>
      </c>
      <c r="T14" s="37">
        <f t="shared" si="3"/>
        <v>0</v>
      </c>
      <c r="U14" s="37">
        <f t="shared" ref="U14:U38" si="14">SUM(S14:T14)</f>
        <v>17345.850000000002</v>
      </c>
    </row>
    <row r="15" spans="1:22" x14ac:dyDescent="0.25">
      <c r="A15" s="31">
        <v>131685</v>
      </c>
      <c r="B15" s="31">
        <v>8312005</v>
      </c>
      <c r="C15" s="30" t="s">
        <v>63</v>
      </c>
      <c r="D15" s="30" t="s">
        <v>588</v>
      </c>
      <c r="E15" s="36">
        <f>VLOOKUP(B15,'ISB new'!B:G,4,FALSE)</f>
        <v>312</v>
      </c>
      <c r="F15" s="36">
        <f>VLOOKUP(B15,'ISB new'!B:G,5,FALSE)</f>
        <v>0</v>
      </c>
      <c r="G15" s="37">
        <f t="shared" si="4"/>
        <v>4018.5600000000004</v>
      </c>
      <c r="H15" s="37">
        <f t="shared" si="5"/>
        <v>0</v>
      </c>
      <c r="I15" s="37">
        <f t="shared" si="6"/>
        <v>6324.24</v>
      </c>
      <c r="J15" s="37">
        <f t="shared" si="7"/>
        <v>0</v>
      </c>
      <c r="K15" s="37">
        <f t="shared" si="8"/>
        <v>8464.56</v>
      </c>
      <c r="L15" s="37">
        <f t="shared" si="9"/>
        <v>0</v>
      </c>
      <c r="M15" s="37">
        <f t="shared" si="10"/>
        <v>5176.08</v>
      </c>
      <c r="N15" s="37">
        <f t="shared" si="11"/>
        <v>0</v>
      </c>
      <c r="O15" s="37">
        <f t="shared" si="12"/>
        <v>3488.16</v>
      </c>
      <c r="P15" s="37">
        <f t="shared" si="13"/>
        <v>0</v>
      </c>
      <c r="Q15" s="31"/>
      <c r="R15" s="31"/>
      <c r="S15" s="37">
        <f t="shared" si="2"/>
        <v>27471.600000000002</v>
      </c>
      <c r="T15" s="37">
        <f t="shared" si="3"/>
        <v>0</v>
      </c>
      <c r="U15" s="37">
        <f t="shared" si="14"/>
        <v>27471.600000000002</v>
      </c>
    </row>
    <row r="16" spans="1:22" x14ac:dyDescent="0.25">
      <c r="A16" s="31">
        <v>112717</v>
      </c>
      <c r="B16" s="31">
        <v>8312405</v>
      </c>
      <c r="C16" s="30" t="s">
        <v>64</v>
      </c>
      <c r="D16" s="30" t="s">
        <v>588</v>
      </c>
      <c r="E16" s="36">
        <f>VLOOKUP(B16,'ISB new'!B:G,4,FALSE)</f>
        <v>209</v>
      </c>
      <c r="F16" s="36">
        <f>VLOOKUP(B16,'ISB new'!B:G,5,FALSE)</f>
        <v>0</v>
      </c>
      <c r="G16" s="37">
        <f t="shared" si="4"/>
        <v>2691.92</v>
      </c>
      <c r="H16" s="37">
        <f t="shared" si="5"/>
        <v>0</v>
      </c>
      <c r="I16" s="37">
        <f t="shared" si="6"/>
        <v>4236.43</v>
      </c>
      <c r="J16" s="37">
        <f t="shared" si="7"/>
        <v>0</v>
      </c>
      <c r="K16" s="37">
        <f t="shared" si="8"/>
        <v>5670.17</v>
      </c>
      <c r="L16" s="37">
        <f t="shared" si="9"/>
        <v>0</v>
      </c>
      <c r="M16" s="37">
        <f t="shared" si="10"/>
        <v>3467.31</v>
      </c>
      <c r="N16" s="37">
        <f t="shared" si="11"/>
        <v>0</v>
      </c>
      <c r="O16" s="37">
        <f t="shared" si="12"/>
        <v>2336.62</v>
      </c>
      <c r="P16" s="37">
        <f t="shared" si="13"/>
        <v>0</v>
      </c>
      <c r="Q16" s="31"/>
      <c r="R16" s="31"/>
      <c r="S16" s="37">
        <f t="shared" si="2"/>
        <v>18402.45</v>
      </c>
      <c r="T16" s="37">
        <f t="shared" si="3"/>
        <v>0</v>
      </c>
      <c r="U16" s="37">
        <f t="shared" si="14"/>
        <v>18402.45</v>
      </c>
    </row>
    <row r="17" spans="1:21" x14ac:dyDescent="0.25">
      <c r="A17" s="31">
        <v>112720</v>
      </c>
      <c r="B17" s="31">
        <v>8312409</v>
      </c>
      <c r="C17" s="30" t="s">
        <v>65</v>
      </c>
      <c r="D17" s="30" t="s">
        <v>588</v>
      </c>
      <c r="E17" s="36">
        <f>VLOOKUP(B17,'ISB new'!B:G,4,FALSE)</f>
        <v>545</v>
      </c>
      <c r="F17" s="36">
        <f>VLOOKUP(B17,'ISB new'!B:G,5,FALSE)</f>
        <v>0</v>
      </c>
      <c r="G17" s="37">
        <f t="shared" si="4"/>
        <v>7019.6</v>
      </c>
      <c r="H17" s="37">
        <f t="shared" si="5"/>
        <v>0</v>
      </c>
      <c r="I17" s="37">
        <f t="shared" si="6"/>
        <v>11047.15</v>
      </c>
      <c r="J17" s="37">
        <f t="shared" si="7"/>
        <v>0</v>
      </c>
      <c r="K17" s="37">
        <f t="shared" si="8"/>
        <v>14785.85</v>
      </c>
      <c r="L17" s="37">
        <f t="shared" si="9"/>
        <v>0</v>
      </c>
      <c r="M17" s="37">
        <f t="shared" si="10"/>
        <v>9041.5499999999993</v>
      </c>
      <c r="N17" s="37">
        <f t="shared" si="11"/>
        <v>0</v>
      </c>
      <c r="O17" s="37">
        <f t="shared" si="12"/>
        <v>6093.0999999999995</v>
      </c>
      <c r="P17" s="37">
        <f t="shared" si="13"/>
        <v>0</v>
      </c>
      <c r="Q17" s="31"/>
      <c r="R17" s="31"/>
      <c r="S17" s="37">
        <f t="shared" si="2"/>
        <v>47987.250000000007</v>
      </c>
      <c r="T17" s="37">
        <f t="shared" si="3"/>
        <v>0</v>
      </c>
      <c r="U17" s="37">
        <f t="shared" si="14"/>
        <v>47987.250000000007</v>
      </c>
    </row>
    <row r="18" spans="1:21" x14ac:dyDescent="0.25">
      <c r="A18" s="31">
        <v>112728</v>
      </c>
      <c r="B18" s="31">
        <v>8312424</v>
      </c>
      <c r="C18" s="30" t="s">
        <v>66</v>
      </c>
      <c r="D18" s="30" t="s">
        <v>588</v>
      </c>
      <c r="E18" s="36">
        <f>VLOOKUP(B18,'ISB new'!B:G,4,FALSE)</f>
        <v>259</v>
      </c>
      <c r="F18" s="36">
        <f>VLOOKUP(B18,'ISB new'!B:G,5,FALSE)</f>
        <v>0</v>
      </c>
      <c r="G18" s="37">
        <f t="shared" si="4"/>
        <v>3335.92</v>
      </c>
      <c r="H18" s="37">
        <f t="shared" si="5"/>
        <v>0</v>
      </c>
      <c r="I18" s="37">
        <f t="shared" si="6"/>
        <v>5249.93</v>
      </c>
      <c r="J18" s="37">
        <f t="shared" si="7"/>
        <v>0</v>
      </c>
      <c r="K18" s="37">
        <f t="shared" si="8"/>
        <v>7026.67</v>
      </c>
      <c r="L18" s="37">
        <f t="shared" si="9"/>
        <v>0</v>
      </c>
      <c r="M18" s="37">
        <f t="shared" si="10"/>
        <v>4296.8100000000004</v>
      </c>
      <c r="N18" s="37">
        <f t="shared" si="11"/>
        <v>0</v>
      </c>
      <c r="O18" s="37">
        <f t="shared" si="12"/>
        <v>2895.62</v>
      </c>
      <c r="P18" s="37">
        <f t="shared" si="13"/>
        <v>0</v>
      </c>
      <c r="Q18" s="31"/>
      <c r="R18" s="31"/>
      <c r="S18" s="37">
        <f t="shared" si="2"/>
        <v>22804.950000000004</v>
      </c>
      <c r="T18" s="37">
        <f t="shared" si="3"/>
        <v>0</v>
      </c>
      <c r="U18" s="37">
        <f t="shared" si="14"/>
        <v>22804.950000000004</v>
      </c>
    </row>
    <row r="19" spans="1:21" x14ac:dyDescent="0.25">
      <c r="A19" s="31">
        <v>112733</v>
      </c>
      <c r="B19" s="31">
        <v>8312429</v>
      </c>
      <c r="C19" s="30" t="s">
        <v>67</v>
      </c>
      <c r="D19" s="30" t="s">
        <v>588</v>
      </c>
      <c r="E19" s="36">
        <f>VLOOKUP(B19,'ISB new'!B:G,4,FALSE)</f>
        <v>145</v>
      </c>
      <c r="F19" s="36">
        <f>VLOOKUP(B19,'ISB new'!B:G,5,FALSE)</f>
        <v>0</v>
      </c>
      <c r="G19" s="37">
        <f t="shared" si="4"/>
        <v>1867.6000000000001</v>
      </c>
      <c r="H19" s="37">
        <f t="shared" si="5"/>
        <v>0</v>
      </c>
      <c r="I19" s="37">
        <f t="shared" si="6"/>
        <v>2939.15</v>
      </c>
      <c r="J19" s="37">
        <f t="shared" si="7"/>
        <v>0</v>
      </c>
      <c r="K19" s="37">
        <f t="shared" si="8"/>
        <v>3933.85</v>
      </c>
      <c r="L19" s="37">
        <f t="shared" si="9"/>
        <v>0</v>
      </c>
      <c r="M19" s="37">
        <f t="shared" si="10"/>
        <v>2405.5500000000002</v>
      </c>
      <c r="N19" s="37">
        <f t="shared" si="11"/>
        <v>0</v>
      </c>
      <c r="O19" s="37">
        <f t="shared" si="12"/>
        <v>1621.1</v>
      </c>
      <c r="P19" s="37">
        <f t="shared" si="13"/>
        <v>0</v>
      </c>
      <c r="Q19" s="31"/>
      <c r="R19" s="31"/>
      <c r="S19" s="37">
        <f t="shared" si="2"/>
        <v>12767.250000000002</v>
      </c>
      <c r="T19" s="37">
        <f t="shared" si="3"/>
        <v>0</v>
      </c>
      <c r="U19" s="37">
        <f t="shared" si="14"/>
        <v>12767.250000000002</v>
      </c>
    </row>
    <row r="20" spans="1:21" x14ac:dyDescent="0.25">
      <c r="A20" s="31">
        <v>112739</v>
      </c>
      <c r="B20" s="31">
        <v>8312436</v>
      </c>
      <c r="C20" s="30" t="s">
        <v>68</v>
      </c>
      <c r="D20" s="30" t="s">
        <v>588</v>
      </c>
      <c r="E20" s="36">
        <f>VLOOKUP(B20,'ISB new'!B:G,4,FALSE)</f>
        <v>418</v>
      </c>
      <c r="F20" s="36">
        <f>VLOOKUP(B20,'ISB new'!B:G,5,FALSE)</f>
        <v>0</v>
      </c>
      <c r="G20" s="37">
        <f t="shared" si="4"/>
        <v>5383.84</v>
      </c>
      <c r="H20" s="37">
        <f t="shared" si="5"/>
        <v>0</v>
      </c>
      <c r="I20" s="37">
        <f t="shared" si="6"/>
        <v>8472.86</v>
      </c>
      <c r="J20" s="37">
        <f t="shared" si="7"/>
        <v>0</v>
      </c>
      <c r="K20" s="37">
        <f t="shared" si="8"/>
        <v>11340.34</v>
      </c>
      <c r="L20" s="37">
        <f t="shared" si="9"/>
        <v>0</v>
      </c>
      <c r="M20" s="37">
        <f t="shared" si="10"/>
        <v>6934.62</v>
      </c>
      <c r="N20" s="37">
        <f t="shared" si="11"/>
        <v>0</v>
      </c>
      <c r="O20" s="37">
        <f t="shared" si="12"/>
        <v>4673.24</v>
      </c>
      <c r="P20" s="37">
        <f t="shared" si="13"/>
        <v>0</v>
      </c>
      <c r="Q20" s="31"/>
      <c r="R20" s="31"/>
      <c r="S20" s="37">
        <f t="shared" si="2"/>
        <v>36804.9</v>
      </c>
      <c r="T20" s="37">
        <f t="shared" si="3"/>
        <v>0</v>
      </c>
      <c r="U20" s="37">
        <f t="shared" si="14"/>
        <v>36804.9</v>
      </c>
    </row>
    <row r="21" spans="1:21" x14ac:dyDescent="0.25">
      <c r="A21" s="31">
        <v>112740</v>
      </c>
      <c r="B21" s="31">
        <v>8312439</v>
      </c>
      <c r="C21" s="30" t="s">
        <v>69</v>
      </c>
      <c r="D21" s="30" t="s">
        <v>588</v>
      </c>
      <c r="E21" s="36">
        <f>VLOOKUP(B21,'ISB new'!B:G,4,FALSE)</f>
        <v>166</v>
      </c>
      <c r="F21" s="36">
        <f>VLOOKUP(B21,'ISB new'!B:G,5,FALSE)</f>
        <v>0</v>
      </c>
      <c r="G21" s="37">
        <f t="shared" si="4"/>
        <v>2138.08</v>
      </c>
      <c r="H21" s="37">
        <f t="shared" si="5"/>
        <v>0</v>
      </c>
      <c r="I21" s="37">
        <f t="shared" si="6"/>
        <v>3364.8199999999997</v>
      </c>
      <c r="J21" s="37">
        <f t="shared" si="7"/>
        <v>0</v>
      </c>
      <c r="K21" s="37">
        <f t="shared" si="8"/>
        <v>4503.58</v>
      </c>
      <c r="L21" s="37">
        <f t="shared" si="9"/>
        <v>0</v>
      </c>
      <c r="M21" s="37">
        <f t="shared" si="10"/>
        <v>2753.94</v>
      </c>
      <c r="N21" s="37">
        <f t="shared" si="11"/>
        <v>0</v>
      </c>
      <c r="O21" s="37">
        <f t="shared" si="12"/>
        <v>1855.8799999999999</v>
      </c>
      <c r="P21" s="37">
        <f t="shared" si="13"/>
        <v>0</v>
      </c>
      <c r="Q21" s="31"/>
      <c r="R21" s="31"/>
      <c r="S21" s="37">
        <f t="shared" si="2"/>
        <v>14616.300000000001</v>
      </c>
      <c r="T21" s="37">
        <f t="shared" si="3"/>
        <v>0</v>
      </c>
      <c r="U21" s="37">
        <f t="shared" si="14"/>
        <v>14616.300000000001</v>
      </c>
    </row>
    <row r="22" spans="1:21" x14ac:dyDescent="0.25">
      <c r="A22" s="31">
        <v>112744</v>
      </c>
      <c r="B22" s="31">
        <v>8312443</v>
      </c>
      <c r="C22" s="30" t="s">
        <v>70</v>
      </c>
      <c r="D22" s="30" t="s">
        <v>588</v>
      </c>
      <c r="E22" s="36">
        <f>VLOOKUP(B22,'ISB new'!B:G,4,FALSE)</f>
        <v>241</v>
      </c>
      <c r="F22" s="36">
        <f>VLOOKUP(B22,'ISB new'!B:G,5,FALSE)</f>
        <v>0</v>
      </c>
      <c r="G22" s="37">
        <f t="shared" si="4"/>
        <v>3104.0800000000004</v>
      </c>
      <c r="H22" s="37">
        <f t="shared" si="5"/>
        <v>0</v>
      </c>
      <c r="I22" s="37">
        <f t="shared" si="6"/>
        <v>4885.07</v>
      </c>
      <c r="J22" s="37">
        <f t="shared" si="7"/>
        <v>0</v>
      </c>
      <c r="K22" s="37">
        <f t="shared" si="8"/>
        <v>6538.33</v>
      </c>
      <c r="L22" s="37">
        <f t="shared" si="9"/>
        <v>0</v>
      </c>
      <c r="M22" s="37">
        <f t="shared" si="10"/>
        <v>3998.19</v>
      </c>
      <c r="N22" s="37">
        <f t="shared" si="11"/>
        <v>0</v>
      </c>
      <c r="O22" s="37">
        <f t="shared" si="12"/>
        <v>2694.38</v>
      </c>
      <c r="P22" s="37">
        <f t="shared" si="13"/>
        <v>0</v>
      </c>
      <c r="Q22" s="31"/>
      <c r="R22" s="31"/>
      <c r="S22" s="37">
        <f t="shared" si="2"/>
        <v>21220.050000000003</v>
      </c>
      <c r="T22" s="37">
        <f t="shared" si="3"/>
        <v>0</v>
      </c>
      <c r="U22" s="37">
        <f t="shared" si="14"/>
        <v>21220.050000000003</v>
      </c>
    </row>
    <row r="23" spans="1:21" x14ac:dyDescent="0.25">
      <c r="A23" s="31">
        <v>112745</v>
      </c>
      <c r="B23" s="31">
        <v>8312444</v>
      </c>
      <c r="C23" s="30" t="s">
        <v>71</v>
      </c>
      <c r="D23" s="30" t="s">
        <v>588</v>
      </c>
      <c r="E23" s="36">
        <f>VLOOKUP(B23,'ISB new'!B:G,4,FALSE)</f>
        <v>159</v>
      </c>
      <c r="F23" s="36">
        <f>VLOOKUP(B23,'ISB new'!B:G,5,FALSE)</f>
        <v>0</v>
      </c>
      <c r="G23" s="37">
        <f t="shared" si="4"/>
        <v>2047.92</v>
      </c>
      <c r="H23" s="37">
        <f t="shared" si="5"/>
        <v>0</v>
      </c>
      <c r="I23" s="37">
        <f t="shared" si="6"/>
        <v>3222.93</v>
      </c>
      <c r="J23" s="37">
        <f t="shared" si="7"/>
        <v>0</v>
      </c>
      <c r="K23" s="37">
        <f t="shared" si="8"/>
        <v>4313.67</v>
      </c>
      <c r="L23" s="37">
        <f t="shared" si="9"/>
        <v>0</v>
      </c>
      <c r="M23" s="37">
        <f t="shared" si="10"/>
        <v>2637.81</v>
      </c>
      <c r="N23" s="37">
        <f t="shared" si="11"/>
        <v>0</v>
      </c>
      <c r="O23" s="37">
        <f t="shared" si="12"/>
        <v>1777.62</v>
      </c>
      <c r="P23" s="37">
        <f t="shared" si="13"/>
        <v>0</v>
      </c>
      <c r="Q23" s="31"/>
      <c r="R23" s="31"/>
      <c r="S23" s="37">
        <f t="shared" si="2"/>
        <v>13999.950000000003</v>
      </c>
      <c r="T23" s="37">
        <f t="shared" si="3"/>
        <v>0</v>
      </c>
      <c r="U23" s="37">
        <f t="shared" si="14"/>
        <v>13999.950000000003</v>
      </c>
    </row>
    <row r="24" spans="1:21" x14ac:dyDescent="0.25">
      <c r="A24" s="31">
        <v>112749</v>
      </c>
      <c r="B24" s="31">
        <v>8312449</v>
      </c>
      <c r="C24" s="30" t="s">
        <v>72</v>
      </c>
      <c r="D24" s="30" t="s">
        <v>588</v>
      </c>
      <c r="E24" s="36">
        <f>VLOOKUP(B24,'ISB new'!B:G,4,FALSE)</f>
        <v>242</v>
      </c>
      <c r="F24" s="36">
        <f>VLOOKUP(B24,'ISB new'!B:G,5,FALSE)</f>
        <v>0</v>
      </c>
      <c r="G24" s="37">
        <f t="shared" si="4"/>
        <v>3116.96</v>
      </c>
      <c r="H24" s="37">
        <f t="shared" si="5"/>
        <v>0</v>
      </c>
      <c r="I24" s="37">
        <f t="shared" si="6"/>
        <v>4905.34</v>
      </c>
      <c r="J24" s="37">
        <f t="shared" si="7"/>
        <v>0</v>
      </c>
      <c r="K24" s="37">
        <f t="shared" si="8"/>
        <v>6565.46</v>
      </c>
      <c r="L24" s="37">
        <f t="shared" si="9"/>
        <v>0</v>
      </c>
      <c r="M24" s="37">
        <f t="shared" si="10"/>
        <v>4014.7799999999997</v>
      </c>
      <c r="N24" s="37">
        <f t="shared" si="11"/>
        <v>0</v>
      </c>
      <c r="O24" s="37">
        <f t="shared" si="12"/>
        <v>2705.56</v>
      </c>
      <c r="P24" s="37">
        <f t="shared" si="13"/>
        <v>0</v>
      </c>
      <c r="Q24" s="31"/>
      <c r="R24" s="31"/>
      <c r="S24" s="37">
        <f t="shared" si="2"/>
        <v>21308.100000000002</v>
      </c>
      <c r="T24" s="37">
        <f t="shared" si="3"/>
        <v>0</v>
      </c>
      <c r="U24" s="37">
        <f t="shared" si="14"/>
        <v>21308.100000000002</v>
      </c>
    </row>
    <row r="25" spans="1:21" x14ac:dyDescent="0.25">
      <c r="A25" s="31">
        <v>112752</v>
      </c>
      <c r="B25" s="31">
        <v>8312452</v>
      </c>
      <c r="C25" s="30" t="s">
        <v>73</v>
      </c>
      <c r="D25" s="30" t="s">
        <v>588</v>
      </c>
      <c r="E25" s="36">
        <f>VLOOKUP(B25,'ISB new'!B:G,4,FALSE)</f>
        <v>139</v>
      </c>
      <c r="F25" s="36">
        <f>VLOOKUP(B25,'ISB new'!B:G,5,FALSE)</f>
        <v>0</v>
      </c>
      <c r="G25" s="37">
        <f t="shared" si="4"/>
        <v>1790.3200000000002</v>
      </c>
      <c r="H25" s="37">
        <f t="shared" si="5"/>
        <v>0</v>
      </c>
      <c r="I25" s="37">
        <f t="shared" si="6"/>
        <v>2817.5299999999997</v>
      </c>
      <c r="J25" s="37">
        <f t="shared" si="7"/>
        <v>0</v>
      </c>
      <c r="K25" s="37">
        <f t="shared" si="8"/>
        <v>3771.0699999999997</v>
      </c>
      <c r="L25" s="37">
        <f t="shared" si="9"/>
        <v>0</v>
      </c>
      <c r="M25" s="37">
        <f t="shared" si="10"/>
        <v>2306.0099999999998</v>
      </c>
      <c r="N25" s="37">
        <f t="shared" si="11"/>
        <v>0</v>
      </c>
      <c r="O25" s="37">
        <f t="shared" si="12"/>
        <v>1554.02</v>
      </c>
      <c r="P25" s="37">
        <f t="shared" si="13"/>
        <v>0</v>
      </c>
      <c r="Q25" s="31"/>
      <c r="R25" s="31"/>
      <c r="S25" s="37">
        <f t="shared" si="2"/>
        <v>12238.95</v>
      </c>
      <c r="T25" s="37">
        <f t="shared" si="3"/>
        <v>0</v>
      </c>
      <c r="U25" s="37">
        <f t="shared" si="14"/>
        <v>12238.95</v>
      </c>
    </row>
    <row r="26" spans="1:21" x14ac:dyDescent="0.25">
      <c r="A26" s="31">
        <v>112756</v>
      </c>
      <c r="B26" s="31">
        <v>8312457</v>
      </c>
      <c r="C26" s="30" t="s">
        <v>74</v>
      </c>
      <c r="D26" s="30" t="s">
        <v>588</v>
      </c>
      <c r="E26" s="36">
        <f>VLOOKUP(B26,'ISB new'!B:G,4,FALSE)</f>
        <v>358</v>
      </c>
      <c r="F26" s="36">
        <f>VLOOKUP(B26,'ISB new'!B:G,5,FALSE)</f>
        <v>0</v>
      </c>
      <c r="G26" s="37">
        <f t="shared" si="4"/>
        <v>4611.04</v>
      </c>
      <c r="H26" s="37">
        <f t="shared" si="5"/>
        <v>0</v>
      </c>
      <c r="I26" s="37">
        <f t="shared" si="6"/>
        <v>7256.66</v>
      </c>
      <c r="J26" s="37">
        <f t="shared" si="7"/>
        <v>0</v>
      </c>
      <c r="K26" s="37">
        <f t="shared" si="8"/>
        <v>9712.5399999999991</v>
      </c>
      <c r="L26" s="37">
        <f t="shared" si="9"/>
        <v>0</v>
      </c>
      <c r="M26" s="37">
        <f t="shared" si="10"/>
        <v>5939.22</v>
      </c>
      <c r="N26" s="37">
        <f t="shared" si="11"/>
        <v>0</v>
      </c>
      <c r="O26" s="37">
        <f t="shared" si="12"/>
        <v>4002.44</v>
      </c>
      <c r="P26" s="37">
        <f t="shared" si="13"/>
        <v>0</v>
      </c>
      <c r="Q26" s="31"/>
      <c r="R26" s="31"/>
      <c r="S26" s="37">
        <f t="shared" si="2"/>
        <v>31521.900000000005</v>
      </c>
      <c r="T26" s="37">
        <f t="shared" si="3"/>
        <v>0</v>
      </c>
      <c r="U26" s="37">
        <f t="shared" si="14"/>
        <v>31521.900000000005</v>
      </c>
    </row>
    <row r="27" spans="1:21" x14ac:dyDescent="0.25">
      <c r="A27" s="31">
        <v>112757</v>
      </c>
      <c r="B27" s="31">
        <v>8312458</v>
      </c>
      <c r="C27" s="30" t="s">
        <v>75</v>
      </c>
      <c r="D27" s="30" t="s">
        <v>588</v>
      </c>
      <c r="E27" s="36">
        <f>VLOOKUP(B27,'ISB new'!B:G,4,FALSE)</f>
        <v>231</v>
      </c>
      <c r="F27" s="36">
        <f>VLOOKUP(B27,'ISB new'!B:G,5,FALSE)</f>
        <v>0</v>
      </c>
      <c r="G27" s="37">
        <f t="shared" si="4"/>
        <v>2975.28</v>
      </c>
      <c r="H27" s="37">
        <f t="shared" si="5"/>
        <v>0</v>
      </c>
      <c r="I27" s="37">
        <f t="shared" si="6"/>
        <v>4682.37</v>
      </c>
      <c r="J27" s="37">
        <f t="shared" si="7"/>
        <v>0</v>
      </c>
      <c r="K27" s="37">
        <f t="shared" si="8"/>
        <v>6267.03</v>
      </c>
      <c r="L27" s="37">
        <f t="shared" si="9"/>
        <v>0</v>
      </c>
      <c r="M27" s="37">
        <f t="shared" si="10"/>
        <v>3832.29</v>
      </c>
      <c r="N27" s="37">
        <f t="shared" si="11"/>
        <v>0</v>
      </c>
      <c r="O27" s="37">
        <f t="shared" si="12"/>
        <v>2582.58</v>
      </c>
      <c r="P27" s="37">
        <f t="shared" si="13"/>
        <v>0</v>
      </c>
      <c r="Q27" s="31"/>
      <c r="R27" s="31"/>
      <c r="S27" s="37">
        <f t="shared" si="2"/>
        <v>20339.550000000003</v>
      </c>
      <c r="T27" s="37">
        <f t="shared" si="3"/>
        <v>0</v>
      </c>
      <c r="U27" s="37">
        <f t="shared" si="14"/>
        <v>20339.550000000003</v>
      </c>
    </row>
    <row r="28" spans="1:21" x14ac:dyDescent="0.25">
      <c r="A28" s="31">
        <v>112758</v>
      </c>
      <c r="B28" s="31">
        <v>8312459</v>
      </c>
      <c r="C28" s="30" t="s">
        <v>76</v>
      </c>
      <c r="D28" s="30" t="s">
        <v>588</v>
      </c>
      <c r="E28" s="36">
        <f>VLOOKUP(B28,'ISB new'!B:G,4,FALSE)</f>
        <v>358</v>
      </c>
      <c r="F28" s="36">
        <f>VLOOKUP(B28,'ISB new'!B:G,5,FALSE)</f>
        <v>0</v>
      </c>
      <c r="G28" s="37">
        <f t="shared" si="4"/>
        <v>4611.04</v>
      </c>
      <c r="H28" s="37">
        <f t="shared" si="5"/>
        <v>0</v>
      </c>
      <c r="I28" s="37">
        <f t="shared" si="6"/>
        <v>7256.66</v>
      </c>
      <c r="J28" s="37">
        <f t="shared" si="7"/>
        <v>0</v>
      </c>
      <c r="K28" s="37">
        <f t="shared" si="8"/>
        <v>9712.5399999999991</v>
      </c>
      <c r="L28" s="37">
        <f t="shared" si="9"/>
        <v>0</v>
      </c>
      <c r="M28" s="37">
        <f t="shared" si="10"/>
        <v>5939.22</v>
      </c>
      <c r="N28" s="37">
        <f t="shared" si="11"/>
        <v>0</v>
      </c>
      <c r="O28" s="37">
        <f t="shared" si="12"/>
        <v>4002.44</v>
      </c>
      <c r="P28" s="37">
        <f t="shared" si="13"/>
        <v>0</v>
      </c>
      <c r="Q28" s="31"/>
      <c r="R28" s="31"/>
      <c r="S28" s="37">
        <f t="shared" si="2"/>
        <v>31521.900000000005</v>
      </c>
      <c r="T28" s="37">
        <f t="shared" si="3"/>
        <v>0</v>
      </c>
      <c r="U28" s="37">
        <f t="shared" si="14"/>
        <v>31521.900000000005</v>
      </c>
    </row>
    <row r="29" spans="1:21" x14ac:dyDescent="0.25">
      <c r="A29" s="31">
        <v>112759</v>
      </c>
      <c r="B29" s="31">
        <v>8312462</v>
      </c>
      <c r="C29" s="30" t="s">
        <v>77</v>
      </c>
      <c r="D29" s="30" t="s">
        <v>588</v>
      </c>
      <c r="E29" s="36">
        <f>VLOOKUP(B29,'ISB new'!B:G,4,FALSE)</f>
        <v>226</v>
      </c>
      <c r="F29" s="36">
        <f>VLOOKUP(B29,'ISB new'!B:G,5,FALSE)</f>
        <v>0</v>
      </c>
      <c r="G29" s="37">
        <f t="shared" si="4"/>
        <v>2910.88</v>
      </c>
      <c r="H29" s="37">
        <f t="shared" si="5"/>
        <v>0</v>
      </c>
      <c r="I29" s="37">
        <f t="shared" si="6"/>
        <v>4581.0199999999995</v>
      </c>
      <c r="J29" s="37">
        <f t="shared" si="7"/>
        <v>0</v>
      </c>
      <c r="K29" s="37">
        <f t="shared" si="8"/>
        <v>6131.38</v>
      </c>
      <c r="L29" s="37">
        <f t="shared" si="9"/>
        <v>0</v>
      </c>
      <c r="M29" s="37">
        <f t="shared" si="10"/>
        <v>3749.34</v>
      </c>
      <c r="N29" s="37">
        <f t="shared" si="11"/>
        <v>0</v>
      </c>
      <c r="O29" s="37">
        <f t="shared" si="12"/>
        <v>2526.6799999999998</v>
      </c>
      <c r="P29" s="37">
        <f t="shared" si="13"/>
        <v>0</v>
      </c>
      <c r="Q29" s="31"/>
      <c r="R29" s="31"/>
      <c r="S29" s="37">
        <f t="shared" si="2"/>
        <v>19899.300000000003</v>
      </c>
      <c r="T29" s="37">
        <f t="shared" si="3"/>
        <v>0</v>
      </c>
      <c r="U29" s="37">
        <f t="shared" si="14"/>
        <v>19899.300000000003</v>
      </c>
    </row>
    <row r="30" spans="1:21" x14ac:dyDescent="0.25">
      <c r="A30" s="31">
        <v>112765</v>
      </c>
      <c r="B30" s="31">
        <v>8312469</v>
      </c>
      <c r="C30" s="30" t="s">
        <v>78</v>
      </c>
      <c r="D30" s="30" t="s">
        <v>588</v>
      </c>
      <c r="E30" s="36">
        <f>VLOOKUP(B30,'ISB new'!B:G,4,FALSE)</f>
        <v>421</v>
      </c>
      <c r="F30" s="36">
        <f>VLOOKUP(B30,'ISB new'!B:G,5,FALSE)</f>
        <v>0</v>
      </c>
      <c r="G30" s="37">
        <f t="shared" si="4"/>
        <v>5422.4800000000005</v>
      </c>
      <c r="H30" s="37">
        <f t="shared" si="5"/>
        <v>0</v>
      </c>
      <c r="I30" s="37">
        <f t="shared" si="6"/>
        <v>8533.67</v>
      </c>
      <c r="J30" s="37">
        <f t="shared" si="7"/>
        <v>0</v>
      </c>
      <c r="K30" s="37">
        <f t="shared" si="8"/>
        <v>11421.73</v>
      </c>
      <c r="L30" s="37">
        <f t="shared" si="9"/>
        <v>0</v>
      </c>
      <c r="M30" s="37">
        <f t="shared" si="10"/>
        <v>6984.39</v>
      </c>
      <c r="N30" s="37">
        <f t="shared" si="11"/>
        <v>0</v>
      </c>
      <c r="O30" s="37">
        <f t="shared" si="12"/>
        <v>4706.78</v>
      </c>
      <c r="P30" s="37">
        <f t="shared" si="13"/>
        <v>0</v>
      </c>
      <c r="Q30" s="31"/>
      <c r="R30" s="31"/>
      <c r="S30" s="37">
        <f t="shared" si="2"/>
        <v>37069.050000000003</v>
      </c>
      <c r="T30" s="37">
        <f t="shared" si="3"/>
        <v>0</v>
      </c>
      <c r="U30" s="37">
        <f t="shared" si="14"/>
        <v>37069.050000000003</v>
      </c>
    </row>
    <row r="31" spans="1:21" x14ac:dyDescent="0.25">
      <c r="A31" s="31">
        <v>112767</v>
      </c>
      <c r="B31" s="31">
        <v>8312473</v>
      </c>
      <c r="C31" s="30" t="s">
        <v>79</v>
      </c>
      <c r="D31" s="30" t="s">
        <v>588</v>
      </c>
      <c r="E31" s="36">
        <f>VLOOKUP(B31,'ISB new'!B:G,4,FALSE)</f>
        <v>242</v>
      </c>
      <c r="F31" s="36">
        <f>VLOOKUP(B31,'ISB new'!B:G,5,FALSE)</f>
        <v>0</v>
      </c>
      <c r="G31" s="37">
        <f t="shared" si="4"/>
        <v>3116.96</v>
      </c>
      <c r="H31" s="37">
        <f t="shared" si="5"/>
        <v>0</v>
      </c>
      <c r="I31" s="37">
        <f t="shared" si="6"/>
        <v>4905.34</v>
      </c>
      <c r="J31" s="37">
        <f t="shared" si="7"/>
        <v>0</v>
      </c>
      <c r="K31" s="37">
        <f t="shared" si="8"/>
        <v>6565.46</v>
      </c>
      <c r="L31" s="37">
        <f t="shared" si="9"/>
        <v>0</v>
      </c>
      <c r="M31" s="37">
        <f t="shared" si="10"/>
        <v>4014.7799999999997</v>
      </c>
      <c r="N31" s="37">
        <f t="shared" si="11"/>
        <v>0</v>
      </c>
      <c r="O31" s="37">
        <f t="shared" si="12"/>
        <v>2705.56</v>
      </c>
      <c r="P31" s="37">
        <f t="shared" si="13"/>
        <v>0</v>
      </c>
      <c r="Q31" s="31"/>
      <c r="R31" s="31"/>
      <c r="S31" s="37">
        <f t="shared" si="2"/>
        <v>21308.100000000002</v>
      </c>
      <c r="T31" s="37">
        <f t="shared" si="3"/>
        <v>0</v>
      </c>
      <c r="U31" s="37">
        <f t="shared" si="14"/>
        <v>21308.100000000002</v>
      </c>
    </row>
    <row r="32" spans="1:21" x14ac:dyDescent="0.25">
      <c r="A32" s="31">
        <v>112770</v>
      </c>
      <c r="B32" s="31">
        <v>8312505</v>
      </c>
      <c r="C32" s="30" t="s">
        <v>80</v>
      </c>
      <c r="D32" s="30" t="s">
        <v>588</v>
      </c>
      <c r="E32" s="36">
        <f>VLOOKUP(B32,'ISB new'!B:G,4,FALSE)</f>
        <v>567</v>
      </c>
      <c r="F32" s="36">
        <f>VLOOKUP(B32,'ISB new'!B:G,5,FALSE)</f>
        <v>0</v>
      </c>
      <c r="G32" s="37">
        <f t="shared" si="4"/>
        <v>7302.96</v>
      </c>
      <c r="H32" s="37">
        <f t="shared" si="5"/>
        <v>0</v>
      </c>
      <c r="I32" s="37">
        <f t="shared" si="6"/>
        <v>11493.09</v>
      </c>
      <c r="J32" s="37">
        <f t="shared" si="7"/>
        <v>0</v>
      </c>
      <c r="K32" s="37">
        <f t="shared" si="8"/>
        <v>15382.71</v>
      </c>
      <c r="L32" s="37">
        <f t="shared" si="9"/>
        <v>0</v>
      </c>
      <c r="M32" s="37">
        <f t="shared" si="10"/>
        <v>9406.5300000000007</v>
      </c>
      <c r="N32" s="37">
        <f t="shared" si="11"/>
        <v>0</v>
      </c>
      <c r="O32" s="37">
        <f t="shared" si="12"/>
        <v>6339.0599999999995</v>
      </c>
      <c r="P32" s="37">
        <f t="shared" si="13"/>
        <v>0</v>
      </c>
      <c r="Q32" s="31"/>
      <c r="R32" s="31"/>
      <c r="S32" s="37">
        <f t="shared" si="2"/>
        <v>49924.350000000006</v>
      </c>
      <c r="T32" s="37">
        <f t="shared" si="3"/>
        <v>0</v>
      </c>
      <c r="U32" s="37">
        <f t="shared" si="14"/>
        <v>49924.350000000006</v>
      </c>
    </row>
    <row r="33" spans="1:21" x14ac:dyDescent="0.25">
      <c r="A33" s="31">
        <v>112790</v>
      </c>
      <c r="B33" s="31">
        <v>8312627</v>
      </c>
      <c r="C33" s="30" t="s">
        <v>81</v>
      </c>
      <c r="D33" s="30" t="s">
        <v>588</v>
      </c>
      <c r="E33" s="36">
        <f>VLOOKUP(B33,'ISB new'!B:G,4,FALSE)</f>
        <v>408</v>
      </c>
      <c r="F33" s="36">
        <f>VLOOKUP(B33,'ISB new'!B:G,5,FALSE)</f>
        <v>0</v>
      </c>
      <c r="G33" s="37">
        <f t="shared" si="4"/>
        <v>5255.04</v>
      </c>
      <c r="H33" s="37">
        <f t="shared" si="5"/>
        <v>0</v>
      </c>
      <c r="I33" s="37">
        <f t="shared" si="6"/>
        <v>8270.16</v>
      </c>
      <c r="J33" s="37">
        <f t="shared" si="7"/>
        <v>0</v>
      </c>
      <c r="K33" s="37">
        <f t="shared" si="8"/>
        <v>11069.039999999999</v>
      </c>
      <c r="L33" s="37">
        <f t="shared" si="9"/>
        <v>0</v>
      </c>
      <c r="M33" s="37">
        <f t="shared" si="10"/>
        <v>6768.72</v>
      </c>
      <c r="N33" s="37">
        <f t="shared" si="11"/>
        <v>0</v>
      </c>
      <c r="O33" s="37">
        <f t="shared" si="12"/>
        <v>4561.4399999999996</v>
      </c>
      <c r="P33" s="37">
        <f t="shared" si="13"/>
        <v>0</v>
      </c>
      <c r="Q33" s="31"/>
      <c r="R33" s="31"/>
      <c r="S33" s="37">
        <f t="shared" si="2"/>
        <v>35924.400000000001</v>
      </c>
      <c r="T33" s="37">
        <f t="shared" si="3"/>
        <v>0</v>
      </c>
      <c r="U33" s="37">
        <f t="shared" si="14"/>
        <v>35924.400000000001</v>
      </c>
    </row>
    <row r="34" spans="1:21" x14ac:dyDescent="0.25">
      <c r="A34" s="31">
        <v>112915</v>
      </c>
      <c r="B34" s="31">
        <v>8313526</v>
      </c>
      <c r="C34" s="30" t="s">
        <v>82</v>
      </c>
      <c r="D34" s="30" t="s">
        <v>588</v>
      </c>
      <c r="E34" s="36">
        <f>VLOOKUP(B34,'ISB new'!B:G,4,FALSE)</f>
        <v>89</v>
      </c>
      <c r="F34" s="36">
        <f>VLOOKUP(B34,'ISB new'!B:G,5,FALSE)</f>
        <v>0</v>
      </c>
      <c r="G34" s="37">
        <f t="shared" si="4"/>
        <v>1146.3200000000002</v>
      </c>
      <c r="H34" s="37">
        <f t="shared" si="5"/>
        <v>0</v>
      </c>
      <c r="I34" s="37">
        <f t="shared" si="6"/>
        <v>1804.03</v>
      </c>
      <c r="J34" s="37">
        <f t="shared" si="7"/>
        <v>0</v>
      </c>
      <c r="K34" s="37">
        <f t="shared" si="8"/>
        <v>2414.5699999999997</v>
      </c>
      <c r="L34" s="37">
        <f t="shared" si="9"/>
        <v>0</v>
      </c>
      <c r="M34" s="37">
        <f t="shared" si="10"/>
        <v>1476.51</v>
      </c>
      <c r="N34" s="37">
        <f t="shared" si="11"/>
        <v>0</v>
      </c>
      <c r="O34" s="37">
        <f t="shared" si="12"/>
        <v>995.02</v>
      </c>
      <c r="P34" s="37">
        <f t="shared" si="13"/>
        <v>0</v>
      </c>
      <c r="Q34" s="31"/>
      <c r="R34" s="31"/>
      <c r="S34" s="37">
        <f t="shared" si="2"/>
        <v>7836.4500000000007</v>
      </c>
      <c r="T34" s="37">
        <f t="shared" si="3"/>
        <v>0</v>
      </c>
      <c r="U34" s="37">
        <f t="shared" si="14"/>
        <v>7836.4500000000007</v>
      </c>
    </row>
    <row r="35" spans="1:21" x14ac:dyDescent="0.25">
      <c r="A35" s="31">
        <v>112983</v>
      </c>
      <c r="B35" s="31">
        <v>8315209</v>
      </c>
      <c r="C35" s="30" t="s">
        <v>83</v>
      </c>
      <c r="D35" s="30" t="s">
        <v>588</v>
      </c>
      <c r="E35" s="36">
        <f>VLOOKUP(B35,'ISB new'!B:G,4,FALSE)</f>
        <v>269</v>
      </c>
      <c r="F35" s="36">
        <f>VLOOKUP(B35,'ISB new'!B:G,5,FALSE)</f>
        <v>0</v>
      </c>
      <c r="G35" s="37">
        <f t="shared" si="4"/>
        <v>3464.7200000000003</v>
      </c>
      <c r="H35" s="37">
        <f t="shared" si="5"/>
        <v>0</v>
      </c>
      <c r="I35" s="37">
        <f t="shared" si="6"/>
        <v>5452.63</v>
      </c>
      <c r="J35" s="37">
        <f t="shared" si="7"/>
        <v>0</v>
      </c>
      <c r="K35" s="37">
        <f t="shared" si="8"/>
        <v>7297.9699999999993</v>
      </c>
      <c r="L35" s="37">
        <f t="shared" si="9"/>
        <v>0</v>
      </c>
      <c r="M35" s="37">
        <f t="shared" si="10"/>
        <v>4462.71</v>
      </c>
      <c r="N35" s="37">
        <f t="shared" si="11"/>
        <v>0</v>
      </c>
      <c r="O35" s="37">
        <f t="shared" si="12"/>
        <v>3007.42</v>
      </c>
      <c r="P35" s="37">
        <f t="shared" si="13"/>
        <v>0</v>
      </c>
      <c r="Q35" s="31"/>
      <c r="R35" s="31"/>
      <c r="S35" s="37">
        <f t="shared" si="2"/>
        <v>23685.450000000004</v>
      </c>
      <c r="T35" s="37">
        <f t="shared" si="3"/>
        <v>0</v>
      </c>
      <c r="U35" s="37">
        <f t="shared" si="14"/>
        <v>23685.450000000004</v>
      </c>
    </row>
    <row r="36" spans="1:21" x14ac:dyDescent="0.25">
      <c r="A36" s="31">
        <v>112956</v>
      </c>
      <c r="B36" s="31">
        <v>8314182</v>
      </c>
      <c r="C36" s="30" t="s">
        <v>84</v>
      </c>
      <c r="D36" s="30" t="s">
        <v>589</v>
      </c>
      <c r="E36" s="36">
        <f>VLOOKUP(B36,'ISB new'!B:G,4,FALSE)</f>
        <v>0</v>
      </c>
      <c r="F36" s="36">
        <f>VLOOKUP(B36,'ISB new'!B:G,5,FALSE)</f>
        <v>1458</v>
      </c>
      <c r="G36" s="37">
        <f t="shared" si="4"/>
        <v>0</v>
      </c>
      <c r="H36" s="37">
        <f>F36*$H$9</f>
        <v>18779.04</v>
      </c>
      <c r="I36" s="37">
        <f t="shared" si="6"/>
        <v>0</v>
      </c>
      <c r="J36" s="37">
        <f t="shared" si="7"/>
        <v>29553.66</v>
      </c>
      <c r="K36" s="37">
        <f t="shared" si="8"/>
        <v>0</v>
      </c>
      <c r="L36" s="37">
        <f t="shared" si="9"/>
        <v>39555.54</v>
      </c>
      <c r="M36" s="37">
        <f t="shared" si="10"/>
        <v>0</v>
      </c>
      <c r="N36" s="37">
        <f>F36*$N$9</f>
        <v>24188.22</v>
      </c>
      <c r="O36" s="37">
        <f t="shared" si="12"/>
        <v>0</v>
      </c>
      <c r="P36" s="37">
        <f t="shared" si="13"/>
        <v>0</v>
      </c>
      <c r="Q36" s="31"/>
      <c r="R36" s="31"/>
      <c r="S36" s="37">
        <f t="shared" si="2"/>
        <v>0</v>
      </c>
      <c r="T36" s="37">
        <f t="shared" si="3"/>
        <v>112076.46</v>
      </c>
      <c r="U36" s="37">
        <f t="shared" si="14"/>
        <v>112076.46</v>
      </c>
    </row>
    <row r="37" spans="1:21" x14ac:dyDescent="0.25">
      <c r="A37" s="31">
        <v>112991</v>
      </c>
      <c r="B37" s="31">
        <v>8315406</v>
      </c>
      <c r="C37" s="30" t="s">
        <v>85</v>
      </c>
      <c r="D37" s="30" t="s">
        <v>589</v>
      </c>
      <c r="E37" s="36">
        <f>VLOOKUP(B37,'ISB new'!B:G,4,FALSE)</f>
        <v>0</v>
      </c>
      <c r="F37" s="36">
        <f>VLOOKUP(B37,'ISB new'!B:G,5,FALSE)</f>
        <v>1306.5</v>
      </c>
      <c r="G37" s="37">
        <f t="shared" si="4"/>
        <v>0</v>
      </c>
      <c r="H37" s="37">
        <f t="shared" si="5"/>
        <v>16827.72</v>
      </c>
      <c r="I37" s="37">
        <f t="shared" si="6"/>
        <v>0</v>
      </c>
      <c r="J37" s="37">
        <f t="shared" si="7"/>
        <v>26482.755000000001</v>
      </c>
      <c r="K37" s="37">
        <f t="shared" si="8"/>
        <v>0</v>
      </c>
      <c r="L37" s="37">
        <f t="shared" si="9"/>
        <v>35445.345000000001</v>
      </c>
      <c r="M37" s="37">
        <f t="shared" si="10"/>
        <v>0</v>
      </c>
      <c r="N37" s="37">
        <f t="shared" si="11"/>
        <v>21674.834999999999</v>
      </c>
      <c r="O37" s="37">
        <f t="shared" si="12"/>
        <v>0</v>
      </c>
      <c r="P37" s="37">
        <f t="shared" si="13"/>
        <v>0</v>
      </c>
      <c r="Q37" s="31"/>
      <c r="R37" s="31"/>
      <c r="S37" s="37">
        <f t="shared" si="2"/>
        <v>0</v>
      </c>
      <c r="T37" s="37">
        <f t="shared" si="3"/>
        <v>100430.655</v>
      </c>
      <c r="U37" s="37">
        <f t="shared" si="14"/>
        <v>100430.655</v>
      </c>
    </row>
    <row r="38" spans="1:21" x14ac:dyDescent="0.25">
      <c r="A38" s="31">
        <v>112951</v>
      </c>
      <c r="B38" s="31">
        <v>8314177</v>
      </c>
      <c r="C38" s="30" t="s">
        <v>86</v>
      </c>
      <c r="D38" s="30" t="s">
        <v>590</v>
      </c>
      <c r="E38" s="36">
        <f>VLOOKUP(B38,'ISB new'!B:G,4,FALSE)</f>
        <v>385</v>
      </c>
      <c r="F38" s="36">
        <f>VLOOKUP(B38,'ISB new'!B:G,5,FALSE)</f>
        <v>1011</v>
      </c>
      <c r="G38" s="37">
        <f t="shared" si="4"/>
        <v>4958.8</v>
      </c>
      <c r="H38" s="37">
        <f t="shared" si="5"/>
        <v>13021.68</v>
      </c>
      <c r="I38" s="37">
        <f t="shared" si="6"/>
        <v>7803.95</v>
      </c>
      <c r="J38" s="37">
        <f t="shared" si="7"/>
        <v>20492.97</v>
      </c>
      <c r="K38" s="37">
        <f t="shared" si="8"/>
        <v>10445.049999999999</v>
      </c>
      <c r="L38" s="37">
        <f t="shared" si="9"/>
        <v>27428.43</v>
      </c>
      <c r="M38" s="37">
        <f t="shared" si="10"/>
        <v>6387.15</v>
      </c>
      <c r="N38" s="37">
        <f t="shared" si="11"/>
        <v>16772.490000000002</v>
      </c>
      <c r="O38" s="37">
        <f t="shared" si="12"/>
        <v>4304.3</v>
      </c>
      <c r="P38" s="37">
        <f t="shared" si="13"/>
        <v>0</v>
      </c>
      <c r="Q38" s="31"/>
      <c r="R38" s="31"/>
      <c r="S38" s="37">
        <f t="shared" si="2"/>
        <v>33899.250000000007</v>
      </c>
      <c r="T38" s="37">
        <f t="shared" si="3"/>
        <v>77715.570000000007</v>
      </c>
      <c r="U38" s="37">
        <f t="shared" si="14"/>
        <v>111614.82</v>
      </c>
    </row>
  </sheetData>
  <sheetProtection autoFilter="0"/>
  <mergeCells count="9">
    <mergeCell ref="C8:D8"/>
    <mergeCell ref="C9:D9"/>
    <mergeCell ref="S6:T6"/>
    <mergeCell ref="G6:H6"/>
    <mergeCell ref="I6:J6"/>
    <mergeCell ref="K6:L6"/>
    <mergeCell ref="M6:N6"/>
    <mergeCell ref="O6:P6"/>
    <mergeCell ref="Q6:R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8FD0F-FE46-439F-AB9C-E4B7623ECD8F}">
  <sheetPr codeName="Sheet15">
    <tabColor rgb="FF7030A0"/>
  </sheetPr>
  <dimension ref="A1:AX233"/>
  <sheetViews>
    <sheetView topLeftCell="A34" workbookViewId="0">
      <selection activeCell="C61" sqref="C61"/>
    </sheetView>
  </sheetViews>
  <sheetFormatPr defaultRowHeight="12.5" x14ac:dyDescent="0.25"/>
  <cols>
    <col min="2" max="2" width="47.81640625" customWidth="1"/>
    <col min="5" max="5" width="11" customWidth="1"/>
    <col min="7" max="8" width="0" hidden="1" customWidth="1"/>
    <col min="11" max="12" width="0" hidden="1" customWidth="1"/>
    <col min="15" max="16" width="0" hidden="1" customWidth="1"/>
    <col min="19" max="20" width="0" hidden="1" customWidth="1"/>
    <col min="21" max="21" width="7.453125" customWidth="1"/>
    <col min="23" max="23" width="0" hidden="1" customWidth="1"/>
    <col min="25" max="25" width="0" hidden="1" customWidth="1"/>
    <col min="27" max="27" width="0" hidden="1" customWidth="1"/>
    <col min="29" max="29" width="0" hidden="1" customWidth="1"/>
    <col min="31" max="31" width="0" hidden="1" customWidth="1"/>
    <col min="33" max="33" width="0" hidden="1" customWidth="1"/>
    <col min="35" max="35" width="0" hidden="1" customWidth="1"/>
    <col min="37" max="37" width="0" hidden="1" customWidth="1"/>
    <col min="39" max="39" width="0" hidden="1" customWidth="1"/>
    <col min="42" max="42" width="0" hidden="1" customWidth="1"/>
    <col min="44" max="44" width="0" hidden="1" customWidth="1"/>
    <col min="46" max="46" width="0" hidden="1" customWidth="1"/>
    <col min="48" max="48" width="0" hidden="1" customWidth="1"/>
  </cols>
  <sheetData>
    <row r="1" spans="1:50" ht="19" thickBot="1" x14ac:dyDescent="0.5">
      <c r="B1" s="326" t="s">
        <v>777</v>
      </c>
    </row>
    <row r="2" spans="1:50" ht="15" thickBot="1" x14ac:dyDescent="0.4">
      <c r="A2">
        <v>1</v>
      </c>
      <c r="B2">
        <v>2</v>
      </c>
      <c r="C2">
        <v>3</v>
      </c>
      <c r="D2">
        <v>4</v>
      </c>
      <c r="E2">
        <v>5</v>
      </c>
      <c r="F2">
        <v>6</v>
      </c>
      <c r="G2">
        <v>7</v>
      </c>
      <c r="H2">
        <v>8</v>
      </c>
      <c r="I2">
        <v>9</v>
      </c>
      <c r="J2">
        <v>10</v>
      </c>
      <c r="K2">
        <v>11</v>
      </c>
      <c r="L2">
        <v>12</v>
      </c>
      <c r="M2">
        <v>13</v>
      </c>
      <c r="N2">
        <v>14</v>
      </c>
      <c r="O2">
        <v>15</v>
      </c>
      <c r="P2">
        <v>16</v>
      </c>
      <c r="Q2">
        <v>17</v>
      </c>
      <c r="R2">
        <v>18</v>
      </c>
      <c r="S2">
        <v>19</v>
      </c>
      <c r="T2">
        <v>20</v>
      </c>
      <c r="V2" s="810" t="s">
        <v>778</v>
      </c>
      <c r="W2" s="811"/>
      <c r="X2" s="811"/>
      <c r="Y2" s="811"/>
      <c r="Z2" s="811"/>
      <c r="AA2" s="811"/>
      <c r="AB2" s="811"/>
      <c r="AC2" s="811"/>
      <c r="AD2" s="811"/>
      <c r="AE2" s="811"/>
      <c r="AF2" s="811"/>
      <c r="AG2" s="811"/>
      <c r="AH2" s="811"/>
      <c r="AI2" s="811"/>
      <c r="AJ2" s="811"/>
      <c r="AK2" s="811"/>
      <c r="AL2" s="811"/>
      <c r="AM2" s="812"/>
    </row>
    <row r="3" spans="1:50" ht="15" thickBot="1" x14ac:dyDescent="0.4">
      <c r="E3" s="810" t="s">
        <v>779</v>
      </c>
      <c r="F3" s="811"/>
      <c r="G3" s="811"/>
      <c r="H3" s="811"/>
      <c r="I3" s="811"/>
      <c r="J3" s="811"/>
      <c r="K3" s="811"/>
      <c r="L3" s="811"/>
      <c r="M3" s="811"/>
      <c r="N3" s="811"/>
      <c r="O3" s="811"/>
      <c r="P3" s="811"/>
      <c r="Q3" s="811"/>
      <c r="R3" s="811"/>
      <c r="S3" s="811"/>
      <c r="T3" s="812"/>
      <c r="V3" s="807" t="s">
        <v>591</v>
      </c>
      <c r="W3" s="808"/>
      <c r="X3" s="808"/>
      <c r="Y3" s="808"/>
      <c r="Z3" s="808"/>
      <c r="AA3" s="808"/>
      <c r="AB3" s="808"/>
      <c r="AC3" s="809"/>
      <c r="AD3" s="807" t="s">
        <v>592</v>
      </c>
      <c r="AE3" s="808"/>
      <c r="AF3" s="808"/>
      <c r="AG3" s="808"/>
      <c r="AH3" s="808"/>
      <c r="AI3" s="808"/>
      <c r="AJ3" s="808"/>
      <c r="AK3" s="809"/>
      <c r="AL3" s="327"/>
      <c r="AM3" s="328"/>
      <c r="AN3" s="329"/>
      <c r="AO3" s="807" t="s">
        <v>174</v>
      </c>
      <c r="AP3" s="808"/>
      <c r="AQ3" s="808"/>
      <c r="AR3" s="808"/>
      <c r="AS3" s="808"/>
      <c r="AT3" s="808"/>
      <c r="AU3" s="808"/>
      <c r="AV3" s="809"/>
    </row>
    <row r="4" spans="1:50" ht="102" thickBot="1" x14ac:dyDescent="0.4">
      <c r="A4" t="s">
        <v>268</v>
      </c>
      <c r="B4" s="330" t="s">
        <v>1</v>
      </c>
      <c r="C4" s="331" t="s">
        <v>595</v>
      </c>
      <c r="D4" s="332" t="s">
        <v>780</v>
      </c>
      <c r="E4" s="333" t="s">
        <v>781</v>
      </c>
      <c r="F4" s="334" t="s">
        <v>782</v>
      </c>
      <c r="G4" s="334" t="s">
        <v>783</v>
      </c>
      <c r="H4" s="335" t="s">
        <v>784</v>
      </c>
      <c r="I4" s="333" t="s">
        <v>1308</v>
      </c>
      <c r="J4" s="334" t="s">
        <v>1302</v>
      </c>
      <c r="K4" s="334" t="s">
        <v>787</v>
      </c>
      <c r="L4" s="335" t="s">
        <v>788</v>
      </c>
      <c r="M4" s="333" t="s">
        <v>1303</v>
      </c>
      <c r="N4" s="334" t="s">
        <v>1304</v>
      </c>
      <c r="O4" s="334" t="s">
        <v>789</v>
      </c>
      <c r="P4" s="335" t="s">
        <v>790</v>
      </c>
      <c r="Q4" s="333" t="s">
        <v>791</v>
      </c>
      <c r="R4" s="335" t="s">
        <v>792</v>
      </c>
      <c r="S4" s="334" t="s">
        <v>793</v>
      </c>
      <c r="T4" s="335" t="s">
        <v>794</v>
      </c>
      <c r="U4" s="372" t="s">
        <v>1305</v>
      </c>
      <c r="V4" s="336" t="s">
        <v>795</v>
      </c>
      <c r="W4" s="332" t="s">
        <v>796</v>
      </c>
      <c r="X4" s="336" t="s">
        <v>1306</v>
      </c>
      <c r="Y4" s="332" t="s">
        <v>797</v>
      </c>
      <c r="Z4" s="336" t="s">
        <v>1307</v>
      </c>
      <c r="AA4" s="332" t="s">
        <v>798</v>
      </c>
      <c r="AB4" s="337" t="s">
        <v>799</v>
      </c>
      <c r="AC4" s="338" t="s">
        <v>800</v>
      </c>
      <c r="AD4" s="336" t="s">
        <v>795</v>
      </c>
      <c r="AE4" s="332" t="s">
        <v>796</v>
      </c>
      <c r="AF4" s="336" t="s">
        <v>1306</v>
      </c>
      <c r="AG4" s="332" t="s">
        <v>797</v>
      </c>
      <c r="AH4" s="336" t="s">
        <v>1307</v>
      </c>
      <c r="AI4" s="332" t="s">
        <v>798</v>
      </c>
      <c r="AJ4" s="336" t="s">
        <v>799</v>
      </c>
      <c r="AK4" s="339" t="s">
        <v>800</v>
      </c>
      <c r="AL4" s="336" t="s">
        <v>801</v>
      </c>
      <c r="AM4" s="339" t="s">
        <v>802</v>
      </c>
      <c r="AN4" s="340"/>
      <c r="AO4" s="336" t="s">
        <v>795</v>
      </c>
      <c r="AP4" s="340" t="s">
        <v>796</v>
      </c>
      <c r="AQ4" s="336" t="s">
        <v>1306</v>
      </c>
      <c r="AR4" s="341" t="s">
        <v>797</v>
      </c>
      <c r="AS4" s="336" t="s">
        <v>1307</v>
      </c>
      <c r="AT4" s="340" t="s">
        <v>798</v>
      </c>
      <c r="AU4" s="336" t="s">
        <v>799</v>
      </c>
      <c r="AV4" s="339" t="s">
        <v>800</v>
      </c>
      <c r="AX4" s="373" t="s">
        <v>1061</v>
      </c>
    </row>
    <row r="5" spans="1:50" ht="15" thickBot="1" x14ac:dyDescent="0.4">
      <c r="A5" s="436" t="s">
        <v>1153</v>
      </c>
      <c r="B5" s="342" t="s">
        <v>803</v>
      </c>
      <c r="C5" s="343"/>
      <c r="D5" s="343"/>
      <c r="E5" s="344">
        <v>90519</v>
      </c>
      <c r="F5" s="345">
        <v>18928</v>
      </c>
      <c r="G5" s="346">
        <v>0</v>
      </c>
      <c r="H5" s="346">
        <v>0</v>
      </c>
      <c r="I5" s="344">
        <v>61908</v>
      </c>
      <c r="J5" s="345">
        <v>13034</v>
      </c>
      <c r="K5" s="346">
        <v>0</v>
      </c>
      <c r="L5" s="346">
        <v>0</v>
      </c>
      <c r="M5" s="344">
        <v>67996.5</v>
      </c>
      <c r="N5" s="345">
        <v>13761</v>
      </c>
      <c r="O5" s="346">
        <v>0</v>
      </c>
      <c r="P5" s="347"/>
      <c r="Q5" s="344">
        <v>220423.5</v>
      </c>
      <c r="R5" s="348">
        <v>45723</v>
      </c>
      <c r="S5" s="346">
        <v>0</v>
      </c>
      <c r="T5" s="347"/>
      <c r="U5" s="350"/>
      <c r="V5" s="349">
        <v>52364</v>
      </c>
      <c r="W5" s="346">
        <v>0</v>
      </c>
      <c r="X5" s="349">
        <v>37520</v>
      </c>
      <c r="Y5" s="346">
        <v>0</v>
      </c>
      <c r="Z5" s="349">
        <v>40018</v>
      </c>
      <c r="AA5" s="346">
        <v>0</v>
      </c>
      <c r="AB5" s="345">
        <v>129902</v>
      </c>
      <c r="AC5" s="346">
        <v>0</v>
      </c>
      <c r="AD5" s="349">
        <v>23640.5</v>
      </c>
      <c r="AE5" s="346">
        <v>0</v>
      </c>
      <c r="AF5" s="349">
        <v>16940</v>
      </c>
      <c r="AG5" s="346">
        <v>0</v>
      </c>
      <c r="AH5" s="349">
        <v>17627.5</v>
      </c>
      <c r="AI5" s="346">
        <v>0</v>
      </c>
      <c r="AJ5" s="349">
        <v>58208</v>
      </c>
      <c r="AK5" s="347">
        <v>0</v>
      </c>
      <c r="AL5" s="349">
        <v>188110</v>
      </c>
      <c r="AM5" s="347">
        <v>0</v>
      </c>
      <c r="AN5" s="350"/>
      <c r="AO5" s="349">
        <v>15120</v>
      </c>
      <c r="AP5" s="346">
        <v>0</v>
      </c>
      <c r="AQ5" s="349">
        <v>7975</v>
      </c>
      <c r="AR5" s="346">
        <v>0</v>
      </c>
      <c r="AS5" s="349">
        <v>7975</v>
      </c>
      <c r="AT5" s="346">
        <v>0</v>
      </c>
      <c r="AU5" s="349">
        <v>31070</v>
      </c>
      <c r="AV5" s="347">
        <v>0</v>
      </c>
    </row>
    <row r="6" spans="1:50" ht="13" thickTop="1" x14ac:dyDescent="0.25">
      <c r="A6" s="477">
        <v>112479</v>
      </c>
      <c r="B6" s="351" t="s">
        <v>321</v>
      </c>
      <c r="C6">
        <v>1014</v>
      </c>
      <c r="D6" s="352" t="s">
        <v>804</v>
      </c>
      <c r="E6" s="353">
        <v>9789</v>
      </c>
      <c r="F6" s="354">
        <v>1937</v>
      </c>
      <c r="G6" s="355">
        <v>0</v>
      </c>
      <c r="H6" s="356">
        <v>0</v>
      </c>
      <c r="I6" s="353">
        <v>7980</v>
      </c>
      <c r="J6" s="354">
        <v>2100</v>
      </c>
      <c r="K6" s="355">
        <v>0</v>
      </c>
      <c r="L6" s="356">
        <v>0</v>
      </c>
      <c r="M6" s="353">
        <v>7557</v>
      </c>
      <c r="N6" s="354">
        <v>1144</v>
      </c>
      <c r="O6" s="355"/>
      <c r="P6" s="356"/>
      <c r="Q6" s="353">
        <v>25326</v>
      </c>
      <c r="R6" s="357">
        <v>5181</v>
      </c>
      <c r="S6" s="355">
        <v>0</v>
      </c>
      <c r="T6" s="356"/>
      <c r="V6" s="358">
        <v>4602</v>
      </c>
      <c r="W6" s="355">
        <v>0</v>
      </c>
      <c r="X6" s="358">
        <v>3570</v>
      </c>
      <c r="Y6" s="355">
        <v>0</v>
      </c>
      <c r="Z6" s="358">
        <v>3564</v>
      </c>
      <c r="AA6" s="355"/>
      <c r="AB6" s="354">
        <v>11736</v>
      </c>
      <c r="AC6" s="355">
        <v>0</v>
      </c>
      <c r="AD6" s="358">
        <v>6240</v>
      </c>
      <c r="AE6" s="355">
        <v>0</v>
      </c>
      <c r="AF6" s="358">
        <v>6300</v>
      </c>
      <c r="AG6" s="355">
        <v>0</v>
      </c>
      <c r="AH6" s="358">
        <v>4587</v>
      </c>
      <c r="AI6" s="355"/>
      <c r="AJ6" s="358">
        <v>17127</v>
      </c>
      <c r="AK6" s="356">
        <v>0</v>
      </c>
      <c r="AL6" s="358">
        <v>28863</v>
      </c>
      <c r="AM6" s="356">
        <v>0</v>
      </c>
      <c r="AO6" s="358">
        <v>2310</v>
      </c>
      <c r="AP6" s="355">
        <v>0</v>
      </c>
      <c r="AQ6" s="358">
        <v>715</v>
      </c>
      <c r="AR6" s="355">
        <v>0</v>
      </c>
      <c r="AS6" s="358">
        <v>715</v>
      </c>
      <c r="AT6" s="355"/>
      <c r="AU6" s="358">
        <v>3740</v>
      </c>
      <c r="AV6" s="356">
        <v>0</v>
      </c>
      <c r="AX6" s="415">
        <v>100000</v>
      </c>
    </row>
    <row r="7" spans="1:50" x14ac:dyDescent="0.25">
      <c r="A7" s="477">
        <v>112472</v>
      </c>
      <c r="B7" s="359" t="s">
        <v>322</v>
      </c>
      <c r="C7">
        <v>1006</v>
      </c>
      <c r="D7" t="s">
        <v>805</v>
      </c>
      <c r="E7" s="353">
        <v>11427</v>
      </c>
      <c r="F7" s="354">
        <v>4849</v>
      </c>
      <c r="G7" s="355">
        <v>0</v>
      </c>
      <c r="H7" s="356">
        <v>0</v>
      </c>
      <c r="I7" s="353">
        <v>7308</v>
      </c>
      <c r="J7" s="354">
        <v>3150</v>
      </c>
      <c r="K7" s="355">
        <v>0</v>
      </c>
      <c r="L7" s="356">
        <v>0</v>
      </c>
      <c r="M7" s="353">
        <v>8206</v>
      </c>
      <c r="N7" s="354">
        <v>3190</v>
      </c>
      <c r="O7" s="355"/>
      <c r="P7" s="356"/>
      <c r="Q7" s="353">
        <v>26941</v>
      </c>
      <c r="R7" s="357">
        <v>11189</v>
      </c>
      <c r="S7" s="355">
        <v>0</v>
      </c>
      <c r="T7" s="356"/>
      <c r="V7" s="358">
        <v>4680</v>
      </c>
      <c r="W7" s="355">
        <v>0</v>
      </c>
      <c r="X7" s="358">
        <v>3360</v>
      </c>
      <c r="Y7" s="355">
        <v>0</v>
      </c>
      <c r="Z7" s="358">
        <v>3630</v>
      </c>
      <c r="AA7" s="355"/>
      <c r="AB7" s="354">
        <v>11670</v>
      </c>
      <c r="AC7" s="355">
        <v>0</v>
      </c>
      <c r="AD7" s="358">
        <v>6864</v>
      </c>
      <c r="AE7" s="355">
        <v>0</v>
      </c>
      <c r="AF7" s="358">
        <v>3780</v>
      </c>
      <c r="AG7" s="355">
        <v>0</v>
      </c>
      <c r="AH7" s="358">
        <v>4477</v>
      </c>
      <c r="AI7" s="355"/>
      <c r="AJ7" s="358">
        <v>15121</v>
      </c>
      <c r="AK7" s="356">
        <v>0</v>
      </c>
      <c r="AL7" s="358">
        <v>26791</v>
      </c>
      <c r="AM7" s="356">
        <v>0</v>
      </c>
      <c r="AO7" s="358">
        <v>420</v>
      </c>
      <c r="AP7" s="355">
        <v>0</v>
      </c>
      <c r="AQ7" s="358">
        <v>165</v>
      </c>
      <c r="AR7" s="355">
        <v>0</v>
      </c>
      <c r="AS7" s="358">
        <v>165</v>
      </c>
      <c r="AT7" s="355"/>
      <c r="AU7" s="358">
        <v>750</v>
      </c>
      <c r="AV7" s="356">
        <v>0</v>
      </c>
      <c r="AX7" s="415">
        <v>100000</v>
      </c>
    </row>
    <row r="8" spans="1:50" x14ac:dyDescent="0.25">
      <c r="A8" s="477">
        <v>112474</v>
      </c>
      <c r="B8" s="351" t="s">
        <v>323</v>
      </c>
      <c r="C8">
        <v>1008</v>
      </c>
      <c r="D8" s="352" t="s">
        <v>806</v>
      </c>
      <c r="E8" s="353">
        <v>14235</v>
      </c>
      <c r="F8" s="354">
        <v>1170</v>
      </c>
      <c r="G8" s="355">
        <v>0</v>
      </c>
      <c r="H8" s="356">
        <v>0</v>
      </c>
      <c r="I8" s="353">
        <v>10290</v>
      </c>
      <c r="J8" s="354">
        <v>420</v>
      </c>
      <c r="K8" s="355">
        <v>0</v>
      </c>
      <c r="L8" s="356">
        <v>0</v>
      </c>
      <c r="M8" s="353">
        <v>12210</v>
      </c>
      <c r="N8" s="354">
        <v>990</v>
      </c>
      <c r="O8" s="355"/>
      <c r="P8" s="356"/>
      <c r="Q8" s="353">
        <v>36735</v>
      </c>
      <c r="R8" s="357">
        <v>2580</v>
      </c>
      <c r="S8" s="355">
        <v>0</v>
      </c>
      <c r="T8" s="356"/>
      <c r="V8" s="358">
        <v>12870</v>
      </c>
      <c r="W8" s="355">
        <v>0</v>
      </c>
      <c r="X8" s="358">
        <v>9030</v>
      </c>
      <c r="Y8" s="355">
        <v>0</v>
      </c>
      <c r="Z8" s="358">
        <v>11385</v>
      </c>
      <c r="AA8" s="355"/>
      <c r="AB8" s="354">
        <v>33285</v>
      </c>
      <c r="AC8" s="355">
        <v>0</v>
      </c>
      <c r="AD8" s="358">
        <v>585</v>
      </c>
      <c r="AE8" s="355">
        <v>0</v>
      </c>
      <c r="AF8" s="358">
        <v>840</v>
      </c>
      <c r="AG8" s="355">
        <v>0</v>
      </c>
      <c r="AH8" s="358">
        <v>495</v>
      </c>
      <c r="AI8" s="355"/>
      <c r="AJ8" s="358">
        <v>1920</v>
      </c>
      <c r="AK8" s="356">
        <v>0</v>
      </c>
      <c r="AL8" s="358">
        <v>35205</v>
      </c>
      <c r="AM8" s="356">
        <v>0</v>
      </c>
      <c r="AO8" s="358">
        <v>6720</v>
      </c>
      <c r="AP8" s="355">
        <v>0</v>
      </c>
      <c r="AQ8" s="358">
        <v>990</v>
      </c>
      <c r="AR8" s="355">
        <v>0</v>
      </c>
      <c r="AS8" s="358">
        <v>990</v>
      </c>
      <c r="AT8" s="355"/>
      <c r="AU8" s="358">
        <v>8700</v>
      </c>
      <c r="AV8" s="356">
        <v>0</v>
      </c>
      <c r="AX8" s="415">
        <v>100000</v>
      </c>
    </row>
    <row r="9" spans="1:50" x14ac:dyDescent="0.25">
      <c r="A9" s="477">
        <v>112471</v>
      </c>
      <c r="B9" s="351" t="s">
        <v>324</v>
      </c>
      <c r="C9">
        <v>1005</v>
      </c>
      <c r="D9" s="352" t="s">
        <v>807</v>
      </c>
      <c r="E9" s="353">
        <v>12480</v>
      </c>
      <c r="F9" s="354">
        <v>2145</v>
      </c>
      <c r="G9" s="355">
        <v>0</v>
      </c>
      <c r="H9" s="356">
        <v>0</v>
      </c>
      <c r="I9" s="353">
        <v>9030</v>
      </c>
      <c r="J9" s="354">
        <v>1470</v>
      </c>
      <c r="K9" s="355">
        <v>0</v>
      </c>
      <c r="L9" s="356">
        <v>0</v>
      </c>
      <c r="M9" s="353">
        <v>8085</v>
      </c>
      <c r="N9" s="354">
        <v>1320</v>
      </c>
      <c r="O9" s="355"/>
      <c r="P9" s="356"/>
      <c r="Q9" s="353">
        <v>29595</v>
      </c>
      <c r="R9" s="357">
        <v>4935</v>
      </c>
      <c r="S9" s="355">
        <v>0</v>
      </c>
      <c r="T9" s="356"/>
      <c r="V9" s="358">
        <v>9555</v>
      </c>
      <c r="W9" s="355">
        <v>0</v>
      </c>
      <c r="X9" s="358">
        <v>8190</v>
      </c>
      <c r="Y9" s="355">
        <v>0</v>
      </c>
      <c r="Z9" s="358">
        <v>5115</v>
      </c>
      <c r="AA9" s="355"/>
      <c r="AB9" s="354">
        <v>22860</v>
      </c>
      <c r="AC9" s="355">
        <v>0</v>
      </c>
      <c r="AD9" s="358">
        <v>1560</v>
      </c>
      <c r="AE9" s="355">
        <v>0</v>
      </c>
      <c r="AF9" s="358">
        <v>630</v>
      </c>
      <c r="AG9" s="355">
        <v>0</v>
      </c>
      <c r="AH9" s="358">
        <v>1320</v>
      </c>
      <c r="AI9" s="355"/>
      <c r="AJ9" s="358">
        <v>3510</v>
      </c>
      <c r="AK9" s="356">
        <v>0</v>
      </c>
      <c r="AL9" s="358">
        <v>26370</v>
      </c>
      <c r="AM9" s="356">
        <v>0</v>
      </c>
      <c r="AO9" s="358">
        <v>0</v>
      </c>
      <c r="AP9" s="355">
        <v>0</v>
      </c>
      <c r="AQ9" s="358">
        <v>0</v>
      </c>
      <c r="AR9" s="355">
        <v>0</v>
      </c>
      <c r="AS9" s="358">
        <v>0</v>
      </c>
      <c r="AT9" s="355"/>
      <c r="AU9" s="358">
        <v>0</v>
      </c>
      <c r="AV9" s="356">
        <v>0</v>
      </c>
      <c r="AX9" s="415">
        <v>100000</v>
      </c>
    </row>
    <row r="10" spans="1:50" x14ac:dyDescent="0.25">
      <c r="A10" s="477">
        <v>112476</v>
      </c>
      <c r="B10" s="351" t="s">
        <v>325</v>
      </c>
      <c r="C10">
        <v>1010</v>
      </c>
      <c r="D10" s="352" t="s">
        <v>808</v>
      </c>
      <c r="E10" s="353">
        <v>14235</v>
      </c>
      <c r="F10" s="354">
        <v>1170</v>
      </c>
      <c r="G10" s="355">
        <v>0</v>
      </c>
      <c r="H10" s="356">
        <v>0</v>
      </c>
      <c r="I10" s="353">
        <v>8400</v>
      </c>
      <c r="J10" s="354">
        <v>1260</v>
      </c>
      <c r="K10" s="355">
        <v>0</v>
      </c>
      <c r="L10" s="356">
        <v>0</v>
      </c>
      <c r="M10" s="353">
        <v>10395</v>
      </c>
      <c r="N10" s="354">
        <v>495</v>
      </c>
      <c r="O10" s="355"/>
      <c r="P10" s="356"/>
      <c r="Q10" s="353">
        <v>33030</v>
      </c>
      <c r="R10" s="357">
        <v>2925</v>
      </c>
      <c r="S10" s="355">
        <v>0</v>
      </c>
      <c r="T10" s="356"/>
      <c r="V10" s="358">
        <v>6825</v>
      </c>
      <c r="W10" s="355">
        <v>0</v>
      </c>
      <c r="X10" s="358">
        <v>3780</v>
      </c>
      <c r="Y10" s="355">
        <v>0</v>
      </c>
      <c r="Z10" s="358">
        <v>5280</v>
      </c>
      <c r="AA10" s="355"/>
      <c r="AB10" s="354">
        <v>15885</v>
      </c>
      <c r="AC10" s="355">
        <v>0</v>
      </c>
      <c r="AD10" s="358">
        <v>3705</v>
      </c>
      <c r="AE10" s="355">
        <v>0</v>
      </c>
      <c r="AF10" s="358">
        <v>2940</v>
      </c>
      <c r="AG10" s="355">
        <v>0</v>
      </c>
      <c r="AH10" s="358">
        <v>2805</v>
      </c>
      <c r="AI10" s="355"/>
      <c r="AJ10" s="358">
        <v>9450</v>
      </c>
      <c r="AK10" s="356">
        <v>0</v>
      </c>
      <c r="AL10" s="358">
        <v>25335</v>
      </c>
      <c r="AM10" s="356">
        <v>0</v>
      </c>
      <c r="AO10" s="358">
        <v>5040</v>
      </c>
      <c r="AP10" s="355">
        <v>0</v>
      </c>
      <c r="AQ10" s="358">
        <v>5445</v>
      </c>
      <c r="AR10" s="355">
        <v>0</v>
      </c>
      <c r="AS10" s="358">
        <v>5445</v>
      </c>
      <c r="AT10" s="355"/>
      <c r="AU10" s="358">
        <v>15930</v>
      </c>
      <c r="AV10" s="356">
        <v>0</v>
      </c>
      <c r="AX10" s="415">
        <v>100000</v>
      </c>
    </row>
    <row r="11" spans="1:50" x14ac:dyDescent="0.25">
      <c r="A11" s="477">
        <v>112475</v>
      </c>
      <c r="B11" s="351" t="s">
        <v>326</v>
      </c>
      <c r="C11">
        <v>1009</v>
      </c>
      <c r="D11" s="352" t="s">
        <v>809</v>
      </c>
      <c r="E11" s="353">
        <v>14040</v>
      </c>
      <c r="F11" s="354">
        <v>1755</v>
      </c>
      <c r="G11" s="355">
        <v>0</v>
      </c>
      <c r="H11" s="356">
        <v>0</v>
      </c>
      <c r="I11" s="353">
        <v>10080</v>
      </c>
      <c r="J11" s="354">
        <v>840</v>
      </c>
      <c r="K11" s="355">
        <v>0</v>
      </c>
      <c r="L11" s="356">
        <v>0</v>
      </c>
      <c r="M11" s="353">
        <v>11055</v>
      </c>
      <c r="N11" s="354">
        <v>1485</v>
      </c>
      <c r="O11" s="355"/>
      <c r="P11" s="356"/>
      <c r="Q11" s="353">
        <v>35175</v>
      </c>
      <c r="R11" s="357">
        <v>4080</v>
      </c>
      <c r="S11" s="355">
        <v>0</v>
      </c>
      <c r="T11" s="356"/>
      <c r="V11" s="358">
        <v>12675</v>
      </c>
      <c r="W11" s="355">
        <v>0</v>
      </c>
      <c r="X11" s="358">
        <v>9030</v>
      </c>
      <c r="Y11" s="355">
        <v>0</v>
      </c>
      <c r="Z11" s="358">
        <v>10230</v>
      </c>
      <c r="AA11" s="355"/>
      <c r="AB11" s="354">
        <v>31935</v>
      </c>
      <c r="AC11" s="355">
        <v>0</v>
      </c>
      <c r="AD11" s="358">
        <v>1560</v>
      </c>
      <c r="AE11" s="355">
        <v>0</v>
      </c>
      <c r="AF11" s="358">
        <v>1050</v>
      </c>
      <c r="AG11" s="355">
        <v>0</v>
      </c>
      <c r="AH11" s="358">
        <v>1320</v>
      </c>
      <c r="AI11" s="355"/>
      <c r="AJ11" s="358">
        <v>3930</v>
      </c>
      <c r="AK11" s="356">
        <v>0</v>
      </c>
      <c r="AL11" s="358">
        <v>35865</v>
      </c>
      <c r="AM11" s="356">
        <v>0</v>
      </c>
      <c r="AO11" s="358">
        <v>630</v>
      </c>
      <c r="AP11" s="355">
        <v>0</v>
      </c>
      <c r="AQ11" s="358">
        <v>660</v>
      </c>
      <c r="AR11" s="355">
        <v>0</v>
      </c>
      <c r="AS11" s="358">
        <v>660</v>
      </c>
      <c r="AT11" s="355"/>
      <c r="AU11" s="358">
        <v>1950</v>
      </c>
      <c r="AV11" s="356">
        <v>0</v>
      </c>
      <c r="AX11" s="415">
        <v>100000</v>
      </c>
    </row>
    <row r="12" spans="1:50" x14ac:dyDescent="0.25">
      <c r="A12" s="477">
        <v>112480</v>
      </c>
      <c r="B12" s="359" t="s">
        <v>327</v>
      </c>
      <c r="C12">
        <v>1015</v>
      </c>
      <c r="D12" t="s">
        <v>810</v>
      </c>
      <c r="E12" s="353">
        <v>14313</v>
      </c>
      <c r="F12" s="354">
        <v>5902</v>
      </c>
      <c r="G12" s="355">
        <v>0</v>
      </c>
      <c r="H12" s="356">
        <v>0</v>
      </c>
      <c r="I12" s="353">
        <v>8820</v>
      </c>
      <c r="J12" s="354">
        <v>3794</v>
      </c>
      <c r="K12" s="355">
        <v>0</v>
      </c>
      <c r="L12" s="356">
        <v>0</v>
      </c>
      <c r="M12" s="353">
        <v>10488.5</v>
      </c>
      <c r="N12" s="354">
        <v>5137</v>
      </c>
      <c r="O12" s="355"/>
      <c r="P12" s="356"/>
      <c r="Q12" s="353">
        <v>33621.5</v>
      </c>
      <c r="R12" s="357">
        <v>14833</v>
      </c>
      <c r="S12" s="355">
        <v>0</v>
      </c>
      <c r="T12" s="356"/>
      <c r="V12" s="358">
        <v>1157</v>
      </c>
      <c r="W12" s="355">
        <v>0</v>
      </c>
      <c r="X12" s="358">
        <v>560</v>
      </c>
      <c r="Y12" s="355">
        <v>0</v>
      </c>
      <c r="Z12" s="358">
        <v>814</v>
      </c>
      <c r="AA12" s="355"/>
      <c r="AB12" s="354">
        <v>2531</v>
      </c>
      <c r="AC12" s="355">
        <v>0</v>
      </c>
      <c r="AD12" s="358">
        <v>3126.5</v>
      </c>
      <c r="AE12" s="355">
        <v>0</v>
      </c>
      <c r="AF12" s="358">
        <v>1400</v>
      </c>
      <c r="AG12" s="355">
        <v>0</v>
      </c>
      <c r="AH12" s="358">
        <v>2623.5</v>
      </c>
      <c r="AI12" s="355"/>
      <c r="AJ12" s="358">
        <v>7150</v>
      </c>
      <c r="AK12" s="356">
        <v>0</v>
      </c>
      <c r="AL12" s="358">
        <v>9681</v>
      </c>
      <c r="AM12" s="356">
        <v>0</v>
      </c>
      <c r="AO12" s="358">
        <v>0</v>
      </c>
      <c r="AP12" s="355">
        <v>0</v>
      </c>
      <c r="AQ12" s="358">
        <v>0</v>
      </c>
      <c r="AR12" s="355">
        <v>0</v>
      </c>
      <c r="AS12" s="358">
        <v>0</v>
      </c>
      <c r="AT12" s="355"/>
      <c r="AU12" s="358">
        <v>0</v>
      </c>
      <c r="AV12" s="356">
        <v>0</v>
      </c>
      <c r="AX12" s="415">
        <v>100000</v>
      </c>
    </row>
    <row r="13" spans="1:50" ht="15" thickBot="1" x14ac:dyDescent="0.4">
      <c r="A13" s="436" t="s">
        <v>1153</v>
      </c>
      <c r="B13" s="342" t="s">
        <v>593</v>
      </c>
      <c r="C13" s="343"/>
      <c r="D13" s="343"/>
      <c r="E13" s="360">
        <v>111384</v>
      </c>
      <c r="F13" s="361">
        <v>34378.5</v>
      </c>
      <c r="G13" s="362">
        <v>0</v>
      </c>
      <c r="H13" s="363">
        <v>0</v>
      </c>
      <c r="I13" s="360">
        <v>82278</v>
      </c>
      <c r="J13" s="361">
        <v>29967</v>
      </c>
      <c r="K13" s="362">
        <v>0</v>
      </c>
      <c r="L13" s="363">
        <v>0</v>
      </c>
      <c r="M13" s="360">
        <v>85646</v>
      </c>
      <c r="N13" s="361">
        <v>28138</v>
      </c>
      <c r="O13" s="362">
        <v>0</v>
      </c>
      <c r="P13" s="363"/>
      <c r="Q13" s="360">
        <v>279308</v>
      </c>
      <c r="R13" s="364">
        <v>92483.5</v>
      </c>
      <c r="S13" s="362">
        <v>0</v>
      </c>
      <c r="T13" s="363"/>
      <c r="U13" s="343"/>
      <c r="V13" s="365">
        <v>45903</v>
      </c>
      <c r="W13" s="362">
        <v>0</v>
      </c>
      <c r="X13" s="365">
        <v>34419</v>
      </c>
      <c r="Y13" s="362">
        <v>0</v>
      </c>
      <c r="Z13" s="365">
        <v>35464</v>
      </c>
      <c r="AA13" s="362">
        <v>0</v>
      </c>
      <c r="AB13" s="361">
        <v>115786</v>
      </c>
      <c r="AC13" s="362">
        <v>0</v>
      </c>
      <c r="AD13" s="365">
        <v>42315</v>
      </c>
      <c r="AE13" s="362">
        <v>0</v>
      </c>
      <c r="AF13" s="365">
        <v>30366</v>
      </c>
      <c r="AG13" s="362">
        <v>0</v>
      </c>
      <c r="AH13" s="365">
        <v>32670</v>
      </c>
      <c r="AI13" s="362">
        <v>0</v>
      </c>
      <c r="AJ13" s="365">
        <v>105351</v>
      </c>
      <c r="AK13" s="363">
        <v>0</v>
      </c>
      <c r="AL13" s="365">
        <v>221137</v>
      </c>
      <c r="AM13" s="363">
        <v>0</v>
      </c>
      <c r="AN13" s="343"/>
      <c r="AO13" s="365">
        <v>12810</v>
      </c>
      <c r="AP13" s="362">
        <v>0</v>
      </c>
      <c r="AQ13" s="365">
        <v>9735</v>
      </c>
      <c r="AR13" s="362">
        <v>0</v>
      </c>
      <c r="AS13" s="365">
        <v>9735</v>
      </c>
      <c r="AT13" s="362">
        <v>0</v>
      </c>
      <c r="AU13" s="365">
        <v>32280</v>
      </c>
      <c r="AV13" s="363">
        <v>0</v>
      </c>
      <c r="AX13" s="415">
        <f>SUM(AX6:AX12)</f>
        <v>700000</v>
      </c>
    </row>
    <row r="14" spans="1:50" ht="13" thickTop="1" x14ac:dyDescent="0.25">
      <c r="A14" s="477">
        <v>112744</v>
      </c>
      <c r="B14" s="359" t="s">
        <v>70</v>
      </c>
      <c r="C14">
        <v>2443</v>
      </c>
      <c r="D14" t="s">
        <v>811</v>
      </c>
      <c r="E14" s="353">
        <v>14547</v>
      </c>
      <c r="F14" s="354">
        <v>6103.5</v>
      </c>
      <c r="G14" s="355">
        <v>0</v>
      </c>
      <c r="H14" s="356">
        <v>0</v>
      </c>
      <c r="I14" s="353">
        <v>12348</v>
      </c>
      <c r="J14" s="354">
        <v>6237</v>
      </c>
      <c r="K14" s="355">
        <v>0</v>
      </c>
      <c r="L14" s="356">
        <v>0</v>
      </c>
      <c r="M14" s="353">
        <v>12639</v>
      </c>
      <c r="N14" s="354">
        <v>5093</v>
      </c>
      <c r="O14" s="355"/>
      <c r="P14" s="356"/>
      <c r="Q14" s="353">
        <v>39534</v>
      </c>
      <c r="R14" s="357">
        <v>17433.5</v>
      </c>
      <c r="S14" s="355">
        <v>0</v>
      </c>
      <c r="T14" s="356"/>
      <c r="V14" s="358">
        <v>5031</v>
      </c>
      <c r="W14" s="355">
        <v>0</v>
      </c>
      <c r="X14" s="358">
        <v>6489</v>
      </c>
      <c r="Y14" s="355">
        <v>0</v>
      </c>
      <c r="Z14" s="358">
        <v>4257</v>
      </c>
      <c r="AA14" s="355"/>
      <c r="AB14" s="354">
        <v>15777</v>
      </c>
      <c r="AC14" s="355">
        <v>0</v>
      </c>
      <c r="AD14" s="358">
        <v>7215</v>
      </c>
      <c r="AE14" s="355">
        <v>0</v>
      </c>
      <c r="AF14" s="358">
        <v>4326</v>
      </c>
      <c r="AG14" s="355">
        <v>0</v>
      </c>
      <c r="AH14" s="358">
        <v>6435</v>
      </c>
      <c r="AI14" s="355"/>
      <c r="AJ14" s="358">
        <v>17976</v>
      </c>
      <c r="AK14" s="356">
        <v>0</v>
      </c>
      <c r="AL14" s="358">
        <v>33753</v>
      </c>
      <c r="AM14" s="356">
        <v>0</v>
      </c>
      <c r="AO14" s="358">
        <v>0</v>
      </c>
      <c r="AP14" s="355">
        <v>0</v>
      </c>
      <c r="AQ14" s="358">
        <v>495</v>
      </c>
      <c r="AR14" s="355">
        <v>0</v>
      </c>
      <c r="AS14" s="358">
        <v>495</v>
      </c>
      <c r="AT14" s="355"/>
      <c r="AU14" s="358">
        <v>990</v>
      </c>
      <c r="AV14" s="356">
        <v>0</v>
      </c>
    </row>
    <row r="15" spans="1:50" x14ac:dyDescent="0.25">
      <c r="A15" s="477">
        <v>112717</v>
      </c>
      <c r="B15" s="351" t="s">
        <v>64</v>
      </c>
      <c r="C15">
        <v>2405</v>
      </c>
      <c r="D15" s="352" t="s">
        <v>812</v>
      </c>
      <c r="E15" s="353">
        <v>8775</v>
      </c>
      <c r="F15" s="354">
        <v>0</v>
      </c>
      <c r="G15" s="355">
        <v>0</v>
      </c>
      <c r="H15" s="356">
        <v>0</v>
      </c>
      <c r="I15" s="353">
        <v>6510</v>
      </c>
      <c r="J15" s="354">
        <v>210</v>
      </c>
      <c r="K15" s="355">
        <v>0</v>
      </c>
      <c r="L15" s="356">
        <v>0</v>
      </c>
      <c r="M15" s="353">
        <v>5940</v>
      </c>
      <c r="N15" s="354">
        <v>495</v>
      </c>
      <c r="O15" s="355"/>
      <c r="P15" s="356"/>
      <c r="Q15" s="353">
        <v>21225</v>
      </c>
      <c r="R15" s="357">
        <v>705</v>
      </c>
      <c r="S15" s="355">
        <v>0</v>
      </c>
      <c r="T15" s="356"/>
      <c r="V15" s="358">
        <v>5265</v>
      </c>
      <c r="W15" s="355">
        <v>0</v>
      </c>
      <c r="X15" s="358">
        <v>2730</v>
      </c>
      <c r="Y15" s="355">
        <v>0</v>
      </c>
      <c r="Z15" s="358">
        <v>3960</v>
      </c>
      <c r="AA15" s="355"/>
      <c r="AB15" s="354">
        <v>11955</v>
      </c>
      <c r="AC15" s="355">
        <v>0</v>
      </c>
      <c r="AD15" s="358">
        <v>3120</v>
      </c>
      <c r="AE15" s="355">
        <v>0</v>
      </c>
      <c r="AF15" s="358">
        <v>3570</v>
      </c>
      <c r="AG15" s="355">
        <v>0</v>
      </c>
      <c r="AH15" s="358">
        <v>2310</v>
      </c>
      <c r="AI15" s="355"/>
      <c r="AJ15" s="358">
        <v>9000</v>
      </c>
      <c r="AK15" s="356">
        <v>0</v>
      </c>
      <c r="AL15" s="358">
        <v>20955</v>
      </c>
      <c r="AM15" s="356">
        <v>0</v>
      </c>
      <c r="AO15" s="358">
        <v>1470</v>
      </c>
      <c r="AP15" s="355">
        <v>0</v>
      </c>
      <c r="AQ15" s="358">
        <v>495</v>
      </c>
      <c r="AR15" s="355">
        <v>0</v>
      </c>
      <c r="AS15" s="358">
        <v>495</v>
      </c>
      <c r="AT15" s="355"/>
      <c r="AU15" s="358">
        <v>2460</v>
      </c>
      <c r="AV15" s="356">
        <v>0</v>
      </c>
    </row>
    <row r="16" spans="1:50" x14ac:dyDescent="0.25">
      <c r="A16" s="477">
        <v>112951</v>
      </c>
      <c r="B16" s="351" t="s">
        <v>606</v>
      </c>
      <c r="C16">
        <v>4177</v>
      </c>
      <c r="D16" s="352" t="s">
        <v>813</v>
      </c>
      <c r="E16" s="353">
        <v>585</v>
      </c>
      <c r="F16" s="354">
        <v>390</v>
      </c>
      <c r="G16" s="355">
        <v>0</v>
      </c>
      <c r="H16" s="356">
        <v>0</v>
      </c>
      <c r="I16" s="353">
        <v>0</v>
      </c>
      <c r="J16" s="354">
        <v>0</v>
      </c>
      <c r="K16" s="355">
        <v>0</v>
      </c>
      <c r="L16" s="356">
        <v>0</v>
      </c>
      <c r="M16" s="353">
        <v>495</v>
      </c>
      <c r="N16" s="354">
        <v>330</v>
      </c>
      <c r="O16" s="355"/>
      <c r="P16" s="356"/>
      <c r="Q16" s="353">
        <v>1080</v>
      </c>
      <c r="R16" s="357">
        <v>720</v>
      </c>
      <c r="S16" s="355">
        <v>0</v>
      </c>
      <c r="T16" s="356"/>
      <c r="V16" s="358">
        <v>585</v>
      </c>
      <c r="W16" s="355">
        <v>0</v>
      </c>
      <c r="X16" s="358">
        <v>0</v>
      </c>
      <c r="Y16" s="355">
        <v>0</v>
      </c>
      <c r="Z16" s="358">
        <v>495</v>
      </c>
      <c r="AA16" s="355"/>
      <c r="AB16" s="354">
        <v>1080</v>
      </c>
      <c r="AC16" s="355">
        <v>0</v>
      </c>
      <c r="AD16" s="358">
        <v>0</v>
      </c>
      <c r="AE16" s="355">
        <v>0</v>
      </c>
      <c r="AF16" s="358">
        <v>0</v>
      </c>
      <c r="AG16" s="355">
        <v>0</v>
      </c>
      <c r="AH16" s="358">
        <v>0</v>
      </c>
      <c r="AI16" s="355"/>
      <c r="AJ16" s="358">
        <v>0</v>
      </c>
      <c r="AK16" s="356">
        <v>0</v>
      </c>
      <c r="AL16" s="358">
        <v>1080</v>
      </c>
      <c r="AM16" s="356">
        <v>0</v>
      </c>
      <c r="AO16" s="358">
        <v>0</v>
      </c>
      <c r="AP16" s="355">
        <v>0</v>
      </c>
      <c r="AQ16" s="358">
        <v>495</v>
      </c>
      <c r="AR16" s="355">
        <v>0</v>
      </c>
      <c r="AS16" s="358">
        <v>495</v>
      </c>
      <c r="AT16" s="355"/>
      <c r="AU16" s="358">
        <v>990</v>
      </c>
      <c r="AV16" s="356">
        <v>0</v>
      </c>
    </row>
    <row r="17" spans="1:48" x14ac:dyDescent="0.25">
      <c r="A17" s="477">
        <v>112749</v>
      </c>
      <c r="B17" s="351" t="s">
        <v>72</v>
      </c>
      <c r="C17">
        <v>2449</v>
      </c>
      <c r="D17" s="352" t="s">
        <v>814</v>
      </c>
      <c r="E17" s="353">
        <v>9945</v>
      </c>
      <c r="F17" s="354">
        <v>4290</v>
      </c>
      <c r="G17" s="355">
        <v>0</v>
      </c>
      <c r="H17" s="356">
        <v>0</v>
      </c>
      <c r="I17" s="353">
        <v>9450</v>
      </c>
      <c r="J17" s="354">
        <v>6090</v>
      </c>
      <c r="K17" s="355">
        <v>0</v>
      </c>
      <c r="L17" s="356">
        <v>0</v>
      </c>
      <c r="M17" s="353">
        <v>8415</v>
      </c>
      <c r="N17" s="354">
        <v>3795</v>
      </c>
      <c r="O17" s="355"/>
      <c r="P17" s="356"/>
      <c r="Q17" s="353">
        <v>27810</v>
      </c>
      <c r="R17" s="357">
        <v>14175</v>
      </c>
      <c r="S17" s="355">
        <v>0</v>
      </c>
      <c r="T17" s="356"/>
      <c r="V17" s="358">
        <v>1170</v>
      </c>
      <c r="W17" s="355">
        <v>0</v>
      </c>
      <c r="X17" s="358">
        <v>1680</v>
      </c>
      <c r="Y17" s="355">
        <v>0</v>
      </c>
      <c r="Z17" s="358">
        <v>825</v>
      </c>
      <c r="AA17" s="355"/>
      <c r="AB17" s="354">
        <v>3675</v>
      </c>
      <c r="AC17" s="355">
        <v>0</v>
      </c>
      <c r="AD17" s="358">
        <v>3510</v>
      </c>
      <c r="AE17" s="355">
        <v>0</v>
      </c>
      <c r="AF17" s="358">
        <v>5040</v>
      </c>
      <c r="AG17" s="355">
        <v>0</v>
      </c>
      <c r="AH17" s="358">
        <v>2310</v>
      </c>
      <c r="AI17" s="355"/>
      <c r="AJ17" s="358">
        <v>10860</v>
      </c>
      <c r="AK17" s="356">
        <v>0</v>
      </c>
      <c r="AL17" s="358">
        <v>14535</v>
      </c>
      <c r="AM17" s="356">
        <v>0</v>
      </c>
      <c r="AO17" s="358">
        <v>3570</v>
      </c>
      <c r="AP17" s="355">
        <v>0</v>
      </c>
      <c r="AQ17" s="358">
        <v>2145</v>
      </c>
      <c r="AR17" s="355">
        <v>0</v>
      </c>
      <c r="AS17" s="358">
        <v>2145</v>
      </c>
      <c r="AT17" s="355"/>
      <c r="AU17" s="358">
        <v>7860</v>
      </c>
      <c r="AV17" s="356">
        <v>0</v>
      </c>
    </row>
    <row r="18" spans="1:48" x14ac:dyDescent="0.25">
      <c r="A18" s="477">
        <v>112752</v>
      </c>
      <c r="B18" s="351" t="s">
        <v>73</v>
      </c>
      <c r="C18">
        <v>2452</v>
      </c>
      <c r="D18" s="352" t="s">
        <v>815</v>
      </c>
      <c r="E18" s="353">
        <v>4095</v>
      </c>
      <c r="F18" s="354">
        <v>1950</v>
      </c>
      <c r="G18" s="355">
        <v>0</v>
      </c>
      <c r="H18" s="356">
        <v>0</v>
      </c>
      <c r="I18" s="353">
        <v>1470</v>
      </c>
      <c r="J18" s="354">
        <v>420</v>
      </c>
      <c r="K18" s="355">
        <v>0</v>
      </c>
      <c r="L18" s="356">
        <v>0</v>
      </c>
      <c r="M18" s="353">
        <v>2970</v>
      </c>
      <c r="N18" s="354">
        <v>1485</v>
      </c>
      <c r="O18" s="355"/>
      <c r="P18" s="356"/>
      <c r="Q18" s="353">
        <v>8535</v>
      </c>
      <c r="R18" s="357">
        <v>3855</v>
      </c>
      <c r="S18" s="355">
        <v>0</v>
      </c>
      <c r="T18" s="356"/>
      <c r="V18" s="358">
        <v>2925</v>
      </c>
      <c r="W18" s="355">
        <v>0</v>
      </c>
      <c r="X18" s="358">
        <v>420</v>
      </c>
      <c r="Y18" s="355">
        <v>0</v>
      </c>
      <c r="Z18" s="358">
        <v>2640</v>
      </c>
      <c r="AA18" s="355"/>
      <c r="AB18" s="354">
        <v>5985</v>
      </c>
      <c r="AC18" s="355">
        <v>0</v>
      </c>
      <c r="AD18" s="358">
        <v>585</v>
      </c>
      <c r="AE18" s="355">
        <v>0</v>
      </c>
      <c r="AF18" s="358">
        <v>0</v>
      </c>
      <c r="AG18" s="355">
        <v>0</v>
      </c>
      <c r="AH18" s="358">
        <v>165</v>
      </c>
      <c r="AI18" s="355"/>
      <c r="AJ18" s="358">
        <v>750</v>
      </c>
      <c r="AK18" s="356">
        <v>0</v>
      </c>
      <c r="AL18" s="358">
        <v>6735</v>
      </c>
      <c r="AM18" s="356">
        <v>0</v>
      </c>
      <c r="AO18" s="358">
        <v>420</v>
      </c>
      <c r="AP18" s="355">
        <v>0</v>
      </c>
      <c r="AQ18" s="358">
        <v>1485</v>
      </c>
      <c r="AR18" s="355">
        <v>0</v>
      </c>
      <c r="AS18" s="358">
        <v>1485</v>
      </c>
      <c r="AT18" s="355"/>
      <c r="AU18" s="358">
        <v>3390</v>
      </c>
      <c r="AV18" s="356">
        <v>0</v>
      </c>
    </row>
    <row r="19" spans="1:48" x14ac:dyDescent="0.25">
      <c r="A19" s="477">
        <v>112767</v>
      </c>
      <c r="B19" s="351" t="s">
        <v>613</v>
      </c>
      <c r="C19">
        <v>2473</v>
      </c>
      <c r="D19" s="352" t="s">
        <v>816</v>
      </c>
      <c r="E19" s="353">
        <v>11505</v>
      </c>
      <c r="F19" s="354">
        <v>3705</v>
      </c>
      <c r="G19" s="355">
        <v>0</v>
      </c>
      <c r="H19" s="356">
        <v>0</v>
      </c>
      <c r="I19" s="353">
        <v>10080</v>
      </c>
      <c r="J19" s="354">
        <v>4620</v>
      </c>
      <c r="K19" s="355">
        <v>0</v>
      </c>
      <c r="L19" s="356">
        <v>0</v>
      </c>
      <c r="M19" s="353">
        <v>9735</v>
      </c>
      <c r="N19" s="354">
        <v>3135</v>
      </c>
      <c r="O19" s="355"/>
      <c r="P19" s="356"/>
      <c r="Q19" s="353">
        <v>31320</v>
      </c>
      <c r="R19" s="357">
        <v>11460</v>
      </c>
      <c r="S19" s="355">
        <v>0</v>
      </c>
      <c r="T19" s="356"/>
      <c r="V19" s="358">
        <v>3120</v>
      </c>
      <c r="W19" s="355">
        <v>0</v>
      </c>
      <c r="X19" s="358">
        <v>5250</v>
      </c>
      <c r="Y19" s="355">
        <v>0</v>
      </c>
      <c r="Z19" s="358">
        <v>2805</v>
      </c>
      <c r="AA19" s="355"/>
      <c r="AB19" s="354">
        <v>11175</v>
      </c>
      <c r="AC19" s="355">
        <v>0</v>
      </c>
      <c r="AD19" s="358">
        <v>8190</v>
      </c>
      <c r="AE19" s="355">
        <v>0</v>
      </c>
      <c r="AF19" s="358">
        <v>5460</v>
      </c>
      <c r="AG19" s="355">
        <v>0</v>
      </c>
      <c r="AH19" s="358">
        <v>6435</v>
      </c>
      <c r="AI19" s="355"/>
      <c r="AJ19" s="358">
        <v>20085</v>
      </c>
      <c r="AK19" s="356">
        <v>0</v>
      </c>
      <c r="AL19" s="358">
        <v>31260</v>
      </c>
      <c r="AM19" s="356">
        <v>0</v>
      </c>
      <c r="AO19" s="358">
        <v>1470</v>
      </c>
      <c r="AP19" s="355">
        <v>0</v>
      </c>
      <c r="AQ19" s="358">
        <v>1650</v>
      </c>
      <c r="AR19" s="355">
        <v>0</v>
      </c>
      <c r="AS19" s="358">
        <v>1650</v>
      </c>
      <c r="AT19" s="355"/>
      <c r="AU19" s="358">
        <v>4770</v>
      </c>
      <c r="AV19" s="356">
        <v>0</v>
      </c>
    </row>
    <row r="20" spans="1:48" x14ac:dyDescent="0.25">
      <c r="A20" s="477">
        <v>131799</v>
      </c>
      <c r="B20" s="351" t="s">
        <v>62</v>
      </c>
      <c r="C20">
        <v>2003</v>
      </c>
      <c r="D20" s="352" t="s">
        <v>817</v>
      </c>
      <c r="E20" s="353">
        <v>6045</v>
      </c>
      <c r="F20" s="354">
        <v>2925</v>
      </c>
      <c r="G20" s="355">
        <v>0</v>
      </c>
      <c r="H20" s="356">
        <v>0</v>
      </c>
      <c r="I20" s="353">
        <v>2310</v>
      </c>
      <c r="J20" s="354">
        <v>1050</v>
      </c>
      <c r="K20" s="355">
        <v>0</v>
      </c>
      <c r="L20" s="356">
        <v>0</v>
      </c>
      <c r="M20" s="353">
        <v>4125</v>
      </c>
      <c r="N20" s="354">
        <v>1980</v>
      </c>
      <c r="O20" s="355"/>
      <c r="P20" s="356"/>
      <c r="Q20" s="353">
        <v>12480</v>
      </c>
      <c r="R20" s="357">
        <v>5955</v>
      </c>
      <c r="S20" s="355">
        <v>0</v>
      </c>
      <c r="T20" s="356"/>
      <c r="V20" s="358">
        <v>0</v>
      </c>
      <c r="W20" s="355">
        <v>0</v>
      </c>
      <c r="X20" s="358">
        <v>0</v>
      </c>
      <c r="Y20" s="355">
        <v>0</v>
      </c>
      <c r="Z20" s="358">
        <v>330</v>
      </c>
      <c r="AA20" s="355"/>
      <c r="AB20" s="354">
        <v>330</v>
      </c>
      <c r="AC20" s="355">
        <v>0</v>
      </c>
      <c r="AD20" s="358">
        <v>780</v>
      </c>
      <c r="AE20" s="355">
        <v>0</v>
      </c>
      <c r="AF20" s="358">
        <v>0</v>
      </c>
      <c r="AG20" s="355">
        <v>0</v>
      </c>
      <c r="AH20" s="358">
        <v>660</v>
      </c>
      <c r="AI20" s="355"/>
      <c r="AJ20" s="358">
        <v>1440</v>
      </c>
      <c r="AK20" s="356">
        <v>0</v>
      </c>
      <c r="AL20" s="358">
        <v>1770</v>
      </c>
      <c r="AM20" s="356">
        <v>0</v>
      </c>
      <c r="AO20" s="358">
        <v>0</v>
      </c>
      <c r="AP20" s="355">
        <v>0</v>
      </c>
      <c r="AQ20" s="358">
        <v>0</v>
      </c>
      <c r="AR20" s="355">
        <v>0</v>
      </c>
      <c r="AS20" s="358">
        <v>0</v>
      </c>
      <c r="AT20" s="355"/>
      <c r="AU20" s="358">
        <v>0</v>
      </c>
      <c r="AV20" s="356">
        <v>0</v>
      </c>
    </row>
    <row r="21" spans="1:48" x14ac:dyDescent="0.25">
      <c r="A21" s="477">
        <v>112759</v>
      </c>
      <c r="B21" s="351" t="s">
        <v>77</v>
      </c>
      <c r="C21">
        <v>2462</v>
      </c>
      <c r="D21" s="352" t="s">
        <v>818</v>
      </c>
      <c r="E21" s="353">
        <v>7215</v>
      </c>
      <c r="F21" s="354">
        <v>2925</v>
      </c>
      <c r="G21" s="355">
        <v>0</v>
      </c>
      <c r="H21" s="356">
        <v>0</v>
      </c>
      <c r="I21" s="353">
        <v>6930</v>
      </c>
      <c r="J21" s="354">
        <v>1890</v>
      </c>
      <c r="K21" s="355">
        <v>0</v>
      </c>
      <c r="L21" s="356">
        <v>0</v>
      </c>
      <c r="M21" s="353">
        <v>5775</v>
      </c>
      <c r="N21" s="354">
        <v>2145</v>
      </c>
      <c r="O21" s="355"/>
      <c r="P21" s="356"/>
      <c r="Q21" s="353">
        <v>19920</v>
      </c>
      <c r="R21" s="357">
        <v>6960</v>
      </c>
      <c r="S21" s="355">
        <v>0</v>
      </c>
      <c r="T21" s="356"/>
      <c r="V21" s="358">
        <v>390</v>
      </c>
      <c r="W21" s="355">
        <v>0</v>
      </c>
      <c r="X21" s="358">
        <v>420</v>
      </c>
      <c r="Y21" s="355">
        <v>0</v>
      </c>
      <c r="Z21" s="358">
        <v>330</v>
      </c>
      <c r="AA21" s="355"/>
      <c r="AB21" s="354">
        <v>1140</v>
      </c>
      <c r="AC21" s="355">
        <v>0</v>
      </c>
      <c r="AD21" s="358">
        <v>1755</v>
      </c>
      <c r="AE21" s="355">
        <v>0</v>
      </c>
      <c r="AF21" s="358">
        <v>630</v>
      </c>
      <c r="AG21" s="355">
        <v>0</v>
      </c>
      <c r="AH21" s="358">
        <v>1320</v>
      </c>
      <c r="AI21" s="355"/>
      <c r="AJ21" s="358">
        <v>3705</v>
      </c>
      <c r="AK21" s="356">
        <v>0</v>
      </c>
      <c r="AL21" s="358">
        <v>4845</v>
      </c>
      <c r="AM21" s="356">
        <v>0</v>
      </c>
      <c r="AO21" s="358">
        <v>210</v>
      </c>
      <c r="AP21" s="355">
        <v>0</v>
      </c>
      <c r="AQ21" s="358">
        <v>330</v>
      </c>
      <c r="AR21" s="355">
        <v>0</v>
      </c>
      <c r="AS21" s="358">
        <v>330</v>
      </c>
      <c r="AT21" s="355"/>
      <c r="AU21" s="358">
        <v>870</v>
      </c>
      <c r="AV21" s="356">
        <v>0</v>
      </c>
    </row>
    <row r="22" spans="1:48" x14ac:dyDescent="0.25">
      <c r="A22" s="477">
        <v>112770</v>
      </c>
      <c r="B22" s="351" t="s">
        <v>80</v>
      </c>
      <c r="C22">
        <v>2505</v>
      </c>
      <c r="D22" s="352" t="s">
        <v>819</v>
      </c>
      <c r="E22" s="353">
        <v>14430</v>
      </c>
      <c r="F22" s="354">
        <v>4680</v>
      </c>
      <c r="G22" s="355">
        <v>0</v>
      </c>
      <c r="H22" s="356">
        <v>0</v>
      </c>
      <c r="I22" s="353">
        <v>10710</v>
      </c>
      <c r="J22" s="354">
        <v>3990</v>
      </c>
      <c r="K22" s="355">
        <v>0</v>
      </c>
      <c r="L22" s="356">
        <v>0</v>
      </c>
      <c r="M22" s="353">
        <v>10395</v>
      </c>
      <c r="N22" s="354">
        <v>3795</v>
      </c>
      <c r="O22" s="355"/>
      <c r="P22" s="356"/>
      <c r="Q22" s="353">
        <v>35535</v>
      </c>
      <c r="R22" s="357">
        <v>12465</v>
      </c>
      <c r="S22" s="355">
        <v>0</v>
      </c>
      <c r="T22" s="356"/>
      <c r="V22" s="358">
        <v>5070</v>
      </c>
      <c r="W22" s="355">
        <v>0</v>
      </c>
      <c r="X22" s="358">
        <v>3360</v>
      </c>
      <c r="Y22" s="355">
        <v>0</v>
      </c>
      <c r="Z22" s="358">
        <v>3630</v>
      </c>
      <c r="AA22" s="355"/>
      <c r="AB22" s="354">
        <v>12060</v>
      </c>
      <c r="AC22" s="355">
        <v>0</v>
      </c>
      <c r="AD22" s="358">
        <v>3900</v>
      </c>
      <c r="AE22" s="355">
        <v>0</v>
      </c>
      <c r="AF22" s="358">
        <v>2520</v>
      </c>
      <c r="AG22" s="355">
        <v>0</v>
      </c>
      <c r="AH22" s="358">
        <v>2970</v>
      </c>
      <c r="AI22" s="355"/>
      <c r="AJ22" s="358">
        <v>9390</v>
      </c>
      <c r="AK22" s="356">
        <v>0</v>
      </c>
      <c r="AL22" s="358">
        <v>21450</v>
      </c>
      <c r="AM22" s="356">
        <v>0</v>
      </c>
      <c r="AO22" s="358">
        <v>420</v>
      </c>
      <c r="AP22" s="355">
        <v>0</v>
      </c>
      <c r="AQ22" s="358">
        <v>1815</v>
      </c>
      <c r="AR22" s="355">
        <v>0</v>
      </c>
      <c r="AS22" s="358">
        <v>1815</v>
      </c>
      <c r="AT22" s="355"/>
      <c r="AU22" s="358">
        <v>4050</v>
      </c>
      <c r="AV22" s="356">
        <v>0</v>
      </c>
    </row>
    <row r="23" spans="1:48" x14ac:dyDescent="0.25">
      <c r="A23" s="477">
        <v>131401</v>
      </c>
      <c r="B23" s="351" t="s">
        <v>61</v>
      </c>
      <c r="C23">
        <v>2001</v>
      </c>
      <c r="D23" s="352" t="s">
        <v>820</v>
      </c>
      <c r="E23" s="353">
        <v>10881</v>
      </c>
      <c r="F23" s="354">
        <v>2535</v>
      </c>
      <c r="G23" s="355">
        <v>0</v>
      </c>
      <c r="H23" s="356">
        <v>0</v>
      </c>
      <c r="I23" s="353">
        <v>6510</v>
      </c>
      <c r="J23" s="354">
        <v>1050</v>
      </c>
      <c r="K23" s="355">
        <v>0</v>
      </c>
      <c r="L23" s="356">
        <v>0</v>
      </c>
      <c r="M23" s="353">
        <v>7062</v>
      </c>
      <c r="N23" s="354">
        <v>1815</v>
      </c>
      <c r="O23" s="355"/>
      <c r="P23" s="356"/>
      <c r="Q23" s="353">
        <v>24453</v>
      </c>
      <c r="R23" s="357">
        <v>5400</v>
      </c>
      <c r="S23" s="355">
        <v>0</v>
      </c>
      <c r="T23" s="356"/>
      <c r="V23" s="358">
        <v>6981</v>
      </c>
      <c r="W23" s="355">
        <v>0</v>
      </c>
      <c r="X23" s="358">
        <v>4830</v>
      </c>
      <c r="Y23" s="355">
        <v>0</v>
      </c>
      <c r="Z23" s="358">
        <v>5082</v>
      </c>
      <c r="AA23" s="355"/>
      <c r="AB23" s="354">
        <v>16893</v>
      </c>
      <c r="AC23" s="355">
        <v>0</v>
      </c>
      <c r="AD23" s="358">
        <v>5460</v>
      </c>
      <c r="AE23" s="355">
        <v>0</v>
      </c>
      <c r="AF23" s="358">
        <v>2310</v>
      </c>
      <c r="AG23" s="355">
        <v>0</v>
      </c>
      <c r="AH23" s="358">
        <v>3300</v>
      </c>
      <c r="AI23" s="355"/>
      <c r="AJ23" s="358">
        <v>11070</v>
      </c>
      <c r="AK23" s="356">
        <v>0</v>
      </c>
      <c r="AL23" s="358">
        <v>27963</v>
      </c>
      <c r="AM23" s="356">
        <v>0</v>
      </c>
      <c r="AO23" s="358">
        <v>210</v>
      </c>
      <c r="AP23" s="355">
        <v>0</v>
      </c>
      <c r="AQ23" s="358">
        <v>165</v>
      </c>
      <c r="AR23" s="355">
        <v>0</v>
      </c>
      <c r="AS23" s="358">
        <v>165</v>
      </c>
      <c r="AT23" s="355"/>
      <c r="AU23" s="358">
        <v>540</v>
      </c>
      <c r="AV23" s="356">
        <v>0</v>
      </c>
    </row>
    <row r="24" spans="1:48" x14ac:dyDescent="0.25">
      <c r="A24" s="477">
        <v>112733</v>
      </c>
      <c r="B24" s="351" t="s">
        <v>67</v>
      </c>
      <c r="C24">
        <v>2429</v>
      </c>
      <c r="D24" s="352" t="s">
        <v>821</v>
      </c>
      <c r="E24" s="353">
        <v>10530</v>
      </c>
      <c r="F24" s="354">
        <v>780</v>
      </c>
      <c r="G24" s="355">
        <v>0</v>
      </c>
      <c r="H24" s="356">
        <v>0</v>
      </c>
      <c r="I24" s="353">
        <v>5670</v>
      </c>
      <c r="J24" s="354">
        <v>210</v>
      </c>
      <c r="K24" s="355">
        <v>0</v>
      </c>
      <c r="L24" s="356">
        <v>0</v>
      </c>
      <c r="M24" s="353">
        <v>7755</v>
      </c>
      <c r="N24" s="354">
        <v>660</v>
      </c>
      <c r="O24" s="355"/>
      <c r="P24" s="356"/>
      <c r="Q24" s="353">
        <v>23955</v>
      </c>
      <c r="R24" s="357">
        <v>1650</v>
      </c>
      <c r="S24" s="355">
        <v>0</v>
      </c>
      <c r="T24" s="356"/>
      <c r="V24" s="358">
        <v>8580</v>
      </c>
      <c r="W24" s="355">
        <v>0</v>
      </c>
      <c r="X24" s="358">
        <v>4830</v>
      </c>
      <c r="Y24" s="355">
        <v>0</v>
      </c>
      <c r="Z24" s="358">
        <v>5940</v>
      </c>
      <c r="AA24" s="355"/>
      <c r="AB24" s="354">
        <v>19350</v>
      </c>
      <c r="AC24" s="355">
        <v>0</v>
      </c>
      <c r="AD24" s="358">
        <v>2730</v>
      </c>
      <c r="AE24" s="355">
        <v>0</v>
      </c>
      <c r="AF24" s="358">
        <v>1050</v>
      </c>
      <c r="AG24" s="355">
        <v>0</v>
      </c>
      <c r="AH24" s="358">
        <v>2145</v>
      </c>
      <c r="AI24" s="355"/>
      <c r="AJ24" s="358">
        <v>5925</v>
      </c>
      <c r="AK24" s="356">
        <v>0</v>
      </c>
      <c r="AL24" s="358">
        <v>25275</v>
      </c>
      <c r="AM24" s="356">
        <v>0</v>
      </c>
      <c r="AO24" s="358">
        <v>4620</v>
      </c>
      <c r="AP24" s="355">
        <v>0</v>
      </c>
      <c r="AQ24" s="358">
        <v>330</v>
      </c>
      <c r="AR24" s="355">
        <v>0</v>
      </c>
      <c r="AS24" s="358">
        <v>330</v>
      </c>
      <c r="AT24" s="355"/>
      <c r="AU24" s="358">
        <v>5280</v>
      </c>
      <c r="AV24" s="356">
        <v>0</v>
      </c>
    </row>
    <row r="25" spans="1:48" x14ac:dyDescent="0.25">
      <c r="A25" s="477">
        <v>112745</v>
      </c>
      <c r="B25" s="359" t="s">
        <v>71</v>
      </c>
      <c r="C25">
        <v>2444</v>
      </c>
      <c r="D25" t="s">
        <v>822</v>
      </c>
      <c r="E25" s="353">
        <v>6396</v>
      </c>
      <c r="F25" s="354">
        <v>3705</v>
      </c>
      <c r="G25" s="355">
        <v>0</v>
      </c>
      <c r="H25" s="356">
        <v>0</v>
      </c>
      <c r="I25" s="353">
        <v>7140</v>
      </c>
      <c r="J25" s="354">
        <v>3780</v>
      </c>
      <c r="K25" s="355">
        <v>0</v>
      </c>
      <c r="L25" s="356">
        <v>0</v>
      </c>
      <c r="M25" s="353">
        <v>5445</v>
      </c>
      <c r="N25" s="354">
        <v>3135</v>
      </c>
      <c r="O25" s="355"/>
      <c r="P25" s="356"/>
      <c r="Q25" s="353">
        <v>18981</v>
      </c>
      <c r="R25" s="357">
        <v>10620</v>
      </c>
      <c r="S25" s="355">
        <v>0</v>
      </c>
      <c r="T25" s="356"/>
      <c r="V25" s="358">
        <v>3081</v>
      </c>
      <c r="W25" s="355">
        <v>0</v>
      </c>
      <c r="X25" s="358">
        <v>1680</v>
      </c>
      <c r="Y25" s="355">
        <v>0</v>
      </c>
      <c r="Z25" s="358">
        <v>2640</v>
      </c>
      <c r="AA25" s="355"/>
      <c r="AB25" s="354">
        <v>7401</v>
      </c>
      <c r="AC25" s="355">
        <v>0</v>
      </c>
      <c r="AD25" s="358">
        <v>4095</v>
      </c>
      <c r="AE25" s="355">
        <v>0</v>
      </c>
      <c r="AF25" s="358">
        <v>5250</v>
      </c>
      <c r="AG25" s="355">
        <v>0</v>
      </c>
      <c r="AH25" s="358">
        <v>3465</v>
      </c>
      <c r="AI25" s="355"/>
      <c r="AJ25" s="358">
        <v>12810</v>
      </c>
      <c r="AK25" s="356">
        <v>0</v>
      </c>
      <c r="AL25" s="358">
        <v>20211</v>
      </c>
      <c r="AM25" s="356">
        <v>0</v>
      </c>
      <c r="AO25" s="358">
        <v>420</v>
      </c>
      <c r="AP25" s="355">
        <v>0</v>
      </c>
      <c r="AQ25" s="358">
        <v>165</v>
      </c>
      <c r="AR25" s="355">
        <v>0</v>
      </c>
      <c r="AS25" s="358">
        <v>165</v>
      </c>
      <c r="AT25" s="355"/>
      <c r="AU25" s="358">
        <v>750</v>
      </c>
      <c r="AV25" s="356">
        <v>0</v>
      </c>
    </row>
    <row r="26" spans="1:48" x14ac:dyDescent="0.25">
      <c r="A26" s="477">
        <v>112915</v>
      </c>
      <c r="B26" s="359" t="s">
        <v>621</v>
      </c>
      <c r="C26">
        <v>3526</v>
      </c>
      <c r="D26" t="s">
        <v>823</v>
      </c>
      <c r="E26" s="353">
        <v>6435</v>
      </c>
      <c r="F26" s="354">
        <v>390</v>
      </c>
      <c r="G26" s="355">
        <v>0</v>
      </c>
      <c r="H26" s="356">
        <v>0</v>
      </c>
      <c r="I26" s="353">
        <v>3150</v>
      </c>
      <c r="J26" s="354">
        <v>420</v>
      </c>
      <c r="K26" s="355">
        <v>0</v>
      </c>
      <c r="L26" s="356">
        <v>0</v>
      </c>
      <c r="M26" s="353">
        <v>4895</v>
      </c>
      <c r="N26" s="354">
        <v>275</v>
      </c>
      <c r="O26" s="355"/>
      <c r="P26" s="356"/>
      <c r="Q26" s="353">
        <v>14480</v>
      </c>
      <c r="R26" s="357">
        <v>1085</v>
      </c>
      <c r="S26" s="355">
        <v>0</v>
      </c>
      <c r="T26" s="356"/>
      <c r="V26" s="358">
        <v>3705</v>
      </c>
      <c r="W26" s="355">
        <v>0</v>
      </c>
      <c r="X26" s="358">
        <v>2730</v>
      </c>
      <c r="Y26" s="355">
        <v>0</v>
      </c>
      <c r="Z26" s="358">
        <v>2530</v>
      </c>
      <c r="AA26" s="355"/>
      <c r="AB26" s="354">
        <v>8965</v>
      </c>
      <c r="AC26" s="355">
        <v>0</v>
      </c>
      <c r="AD26" s="358">
        <v>975</v>
      </c>
      <c r="AE26" s="355">
        <v>0</v>
      </c>
      <c r="AF26" s="358">
        <v>210</v>
      </c>
      <c r="AG26" s="355">
        <v>0</v>
      </c>
      <c r="AH26" s="358">
        <v>1155</v>
      </c>
      <c r="AI26" s="355"/>
      <c r="AJ26" s="358">
        <v>2340</v>
      </c>
      <c r="AK26" s="356">
        <v>0</v>
      </c>
      <c r="AL26" s="358">
        <v>11305</v>
      </c>
      <c r="AM26" s="356">
        <v>0</v>
      </c>
      <c r="AO26" s="358">
        <v>0</v>
      </c>
      <c r="AP26" s="355">
        <v>0</v>
      </c>
      <c r="AQ26" s="358">
        <v>165</v>
      </c>
      <c r="AR26" s="355">
        <v>0</v>
      </c>
      <c r="AS26" s="358">
        <v>165</v>
      </c>
      <c r="AT26" s="355"/>
      <c r="AU26" s="358">
        <v>330</v>
      </c>
      <c r="AV26" s="356">
        <v>0</v>
      </c>
    </row>
    <row r="27" spans="1:48" ht="15" thickBot="1" x14ac:dyDescent="0.4">
      <c r="A27" s="436" t="s">
        <v>1153</v>
      </c>
      <c r="B27" s="342" t="s">
        <v>261</v>
      </c>
      <c r="C27" s="343"/>
      <c r="D27" s="343"/>
      <c r="E27" s="360">
        <v>217022.01</v>
      </c>
      <c r="F27" s="361">
        <v>56523</v>
      </c>
      <c r="G27" s="362">
        <v>0</v>
      </c>
      <c r="H27" s="363"/>
      <c r="I27" s="360">
        <v>198699.64285714287</v>
      </c>
      <c r="J27" s="361">
        <v>56561.5</v>
      </c>
      <c r="K27" s="362">
        <v>0</v>
      </c>
      <c r="L27" s="363"/>
      <c r="M27" s="360">
        <v>172111.51136363638</v>
      </c>
      <c r="N27" s="361">
        <v>46235.291666666664</v>
      </c>
      <c r="O27" s="362">
        <v>0</v>
      </c>
      <c r="P27" s="363"/>
      <c r="Q27" s="360">
        <v>587833.1642207792</v>
      </c>
      <c r="R27" s="364">
        <v>159319.79166666666</v>
      </c>
      <c r="S27" s="362">
        <v>0</v>
      </c>
      <c r="T27" s="363"/>
      <c r="U27" s="343"/>
      <c r="V27" s="365">
        <v>99840</v>
      </c>
      <c r="W27" s="362">
        <v>0</v>
      </c>
      <c r="X27" s="365">
        <v>78205.71428571429</v>
      </c>
      <c r="Y27" s="362">
        <v>0</v>
      </c>
      <c r="Z27" s="365">
        <v>72785.625</v>
      </c>
      <c r="AA27" s="362">
        <v>0</v>
      </c>
      <c r="AB27" s="361">
        <v>250831.33928571429</v>
      </c>
      <c r="AC27" s="362">
        <v>0</v>
      </c>
      <c r="AD27" s="365">
        <v>69882</v>
      </c>
      <c r="AE27" s="362">
        <v>0</v>
      </c>
      <c r="AF27" s="365">
        <v>48905.357142857145</v>
      </c>
      <c r="AG27" s="362">
        <v>0</v>
      </c>
      <c r="AH27" s="365">
        <v>52799.541666666672</v>
      </c>
      <c r="AI27" s="362">
        <v>0</v>
      </c>
      <c r="AJ27" s="365">
        <v>171586.89880952382</v>
      </c>
      <c r="AK27" s="363">
        <v>0</v>
      </c>
      <c r="AL27" s="365">
        <v>422418.23809523811</v>
      </c>
      <c r="AM27" s="363">
        <v>0</v>
      </c>
      <c r="AN27" s="343"/>
      <c r="AO27" s="365">
        <v>59277</v>
      </c>
      <c r="AP27" s="362">
        <v>0</v>
      </c>
      <c r="AQ27" s="365">
        <v>36070.714285714283</v>
      </c>
      <c r="AR27" s="362">
        <v>0</v>
      </c>
      <c r="AS27" s="365">
        <v>43092.958333333336</v>
      </c>
      <c r="AT27" s="362">
        <v>0</v>
      </c>
      <c r="AU27" s="365">
        <v>138440.67261904763</v>
      </c>
      <c r="AV27" s="363">
        <v>0</v>
      </c>
    </row>
    <row r="28" spans="1:48" ht="13" thickTop="1" x14ac:dyDescent="0.25">
      <c r="A28" s="477">
        <v>150481</v>
      </c>
      <c r="B28" s="359" t="s">
        <v>97</v>
      </c>
      <c r="C28" t="s">
        <v>1330</v>
      </c>
      <c r="D28" s="672">
        <v>150481</v>
      </c>
      <c r="E28" s="353">
        <v>0</v>
      </c>
      <c r="F28" s="354">
        <v>0</v>
      </c>
      <c r="G28" s="355">
        <v>0</v>
      </c>
      <c r="H28" s="356">
        <v>0</v>
      </c>
      <c r="I28" s="353">
        <v>1890</v>
      </c>
      <c r="J28" s="354">
        <v>210</v>
      </c>
      <c r="K28" s="355">
        <v>0</v>
      </c>
      <c r="L28" s="356">
        <v>0</v>
      </c>
      <c r="M28" s="353">
        <v>0</v>
      </c>
      <c r="N28" s="354">
        <v>0</v>
      </c>
      <c r="O28" s="355"/>
      <c r="P28" s="356"/>
      <c r="Q28" s="353">
        <v>1890</v>
      </c>
      <c r="R28" s="357">
        <v>210</v>
      </c>
      <c r="S28" s="355">
        <v>0</v>
      </c>
      <c r="T28" s="356">
        <v>0</v>
      </c>
      <c r="V28" s="358">
        <v>0</v>
      </c>
      <c r="W28" s="355">
        <v>0</v>
      </c>
      <c r="X28" s="358">
        <v>210</v>
      </c>
      <c r="Y28" s="355">
        <v>0</v>
      </c>
      <c r="Z28" s="358">
        <v>0</v>
      </c>
      <c r="AA28" s="355"/>
      <c r="AB28" s="354">
        <v>210</v>
      </c>
      <c r="AC28" s="355">
        <v>0</v>
      </c>
      <c r="AD28" s="358">
        <v>0</v>
      </c>
      <c r="AE28" s="355">
        <v>0</v>
      </c>
      <c r="AF28" s="358">
        <v>210</v>
      </c>
      <c r="AG28" s="355">
        <v>0</v>
      </c>
      <c r="AH28" s="358">
        <v>0</v>
      </c>
      <c r="AI28" s="355"/>
      <c r="AJ28" s="358">
        <v>210</v>
      </c>
      <c r="AK28" s="356">
        <v>0</v>
      </c>
      <c r="AL28" s="358">
        <v>420</v>
      </c>
      <c r="AM28" s="356">
        <v>0</v>
      </c>
      <c r="AO28" s="358">
        <v>630</v>
      </c>
      <c r="AP28" s="355">
        <v>0</v>
      </c>
      <c r="AQ28" s="358">
        <v>0</v>
      </c>
      <c r="AR28" s="355">
        <v>0</v>
      </c>
      <c r="AS28" s="358">
        <v>0</v>
      </c>
      <c r="AT28" s="355"/>
      <c r="AU28" s="358">
        <v>630</v>
      </c>
      <c r="AV28" s="356">
        <v>0</v>
      </c>
    </row>
    <row r="29" spans="1:48" x14ac:dyDescent="0.25">
      <c r="A29" s="477">
        <v>146715</v>
      </c>
      <c r="B29" s="359" t="s">
        <v>123</v>
      </c>
      <c r="C29">
        <v>2629</v>
      </c>
      <c r="D29" t="s">
        <v>824</v>
      </c>
      <c r="E29" s="353">
        <v>13065</v>
      </c>
      <c r="F29" s="354">
        <v>0</v>
      </c>
      <c r="G29" s="355">
        <v>0</v>
      </c>
      <c r="H29" s="356">
        <v>0</v>
      </c>
      <c r="I29" s="353">
        <v>11970</v>
      </c>
      <c r="J29" s="354">
        <v>0</v>
      </c>
      <c r="K29" s="355">
        <v>0</v>
      </c>
      <c r="L29" s="356">
        <v>0</v>
      </c>
      <c r="M29" s="353">
        <v>10725</v>
      </c>
      <c r="N29" s="354">
        <v>0</v>
      </c>
      <c r="O29" s="355"/>
      <c r="P29" s="356"/>
      <c r="Q29" s="353">
        <v>35760</v>
      </c>
      <c r="R29" s="357">
        <v>0</v>
      </c>
      <c r="S29" s="355">
        <v>0</v>
      </c>
      <c r="T29" s="356">
        <v>0</v>
      </c>
      <c r="V29" s="358">
        <v>9945</v>
      </c>
      <c r="W29" s="355">
        <v>0</v>
      </c>
      <c r="X29" s="358">
        <v>9240</v>
      </c>
      <c r="Y29" s="355">
        <v>0</v>
      </c>
      <c r="Z29" s="358">
        <v>8085</v>
      </c>
      <c r="AA29" s="355"/>
      <c r="AB29" s="354">
        <v>27270</v>
      </c>
      <c r="AC29" s="355">
        <v>0</v>
      </c>
      <c r="AD29" s="358">
        <v>2535</v>
      </c>
      <c r="AE29" s="355">
        <v>0</v>
      </c>
      <c r="AF29" s="358">
        <v>2520</v>
      </c>
      <c r="AG29" s="355">
        <v>0</v>
      </c>
      <c r="AH29" s="358">
        <v>2145</v>
      </c>
      <c r="AI29" s="355"/>
      <c r="AJ29" s="358">
        <v>7200</v>
      </c>
      <c r="AK29" s="356">
        <v>0</v>
      </c>
      <c r="AL29" s="358">
        <v>34470</v>
      </c>
      <c r="AM29" s="356">
        <v>0</v>
      </c>
      <c r="AO29" s="358">
        <v>6510</v>
      </c>
      <c r="AP29" s="355">
        <v>0</v>
      </c>
      <c r="AQ29" s="358">
        <v>1980</v>
      </c>
      <c r="AR29" s="355">
        <v>0</v>
      </c>
      <c r="AS29" s="358">
        <v>1980</v>
      </c>
      <c r="AT29" s="355"/>
      <c r="AU29" s="358">
        <v>10470</v>
      </c>
      <c r="AV29" s="356">
        <v>0</v>
      </c>
    </row>
    <row r="30" spans="1:48" x14ac:dyDescent="0.25">
      <c r="A30" s="477">
        <v>145806</v>
      </c>
      <c r="B30" s="359" t="s">
        <v>627</v>
      </c>
      <c r="C30">
        <v>2509</v>
      </c>
      <c r="D30" t="s">
        <v>825</v>
      </c>
      <c r="E30" s="353">
        <v>4680</v>
      </c>
      <c r="F30" s="354">
        <v>858</v>
      </c>
      <c r="G30" s="355">
        <v>0</v>
      </c>
      <c r="H30" s="356">
        <v>0</v>
      </c>
      <c r="I30" s="353">
        <v>3990</v>
      </c>
      <c r="J30" s="354">
        <v>1470</v>
      </c>
      <c r="K30" s="355">
        <v>0</v>
      </c>
      <c r="L30" s="356">
        <v>0</v>
      </c>
      <c r="M30" s="353">
        <v>3366</v>
      </c>
      <c r="N30" s="354">
        <v>1155</v>
      </c>
      <c r="O30" s="355"/>
      <c r="P30" s="356"/>
      <c r="Q30" s="353">
        <v>12036</v>
      </c>
      <c r="R30" s="357">
        <v>3483</v>
      </c>
      <c r="S30" s="355">
        <v>0</v>
      </c>
      <c r="T30" s="356">
        <v>0</v>
      </c>
      <c r="V30" s="358">
        <v>780</v>
      </c>
      <c r="W30" s="355">
        <v>0</v>
      </c>
      <c r="X30" s="358">
        <v>840</v>
      </c>
      <c r="Y30" s="355">
        <v>0</v>
      </c>
      <c r="Z30" s="358">
        <v>495</v>
      </c>
      <c r="AA30" s="355"/>
      <c r="AB30" s="354">
        <v>2115</v>
      </c>
      <c r="AC30" s="355">
        <v>0</v>
      </c>
      <c r="AD30" s="358">
        <v>780</v>
      </c>
      <c r="AE30" s="355">
        <v>0</v>
      </c>
      <c r="AF30" s="358">
        <v>420</v>
      </c>
      <c r="AG30" s="355">
        <v>0</v>
      </c>
      <c r="AH30" s="358">
        <v>660</v>
      </c>
      <c r="AI30" s="355"/>
      <c r="AJ30" s="358">
        <v>1860</v>
      </c>
      <c r="AK30" s="356">
        <v>0</v>
      </c>
      <c r="AL30" s="358">
        <v>3975</v>
      </c>
      <c r="AM30" s="356">
        <v>0</v>
      </c>
      <c r="AO30" s="358">
        <v>1050</v>
      </c>
      <c r="AP30" s="355">
        <v>0</v>
      </c>
      <c r="AQ30" s="358">
        <v>2475</v>
      </c>
      <c r="AR30" s="355">
        <v>0</v>
      </c>
      <c r="AS30" s="358">
        <v>2475</v>
      </c>
      <c r="AT30" s="355"/>
      <c r="AU30" s="358">
        <v>6000</v>
      </c>
      <c r="AV30" s="356">
        <v>0</v>
      </c>
    </row>
    <row r="31" spans="1:48" x14ac:dyDescent="0.25">
      <c r="A31" s="477">
        <v>146079</v>
      </c>
      <c r="B31" s="359" t="s">
        <v>628</v>
      </c>
      <c r="C31">
        <v>2021</v>
      </c>
      <c r="D31" t="s">
        <v>826</v>
      </c>
      <c r="E31" s="353">
        <v>13845</v>
      </c>
      <c r="F31" s="354">
        <v>1950</v>
      </c>
      <c r="G31" s="355">
        <v>0</v>
      </c>
      <c r="H31" s="356">
        <v>0</v>
      </c>
      <c r="I31" s="353">
        <v>9030</v>
      </c>
      <c r="J31" s="354">
        <v>840</v>
      </c>
      <c r="K31" s="355">
        <v>0</v>
      </c>
      <c r="L31" s="356">
        <v>0</v>
      </c>
      <c r="M31" s="353">
        <v>7524</v>
      </c>
      <c r="N31" s="354">
        <v>990</v>
      </c>
      <c r="O31" s="355"/>
      <c r="P31" s="356"/>
      <c r="Q31" s="353">
        <v>30399</v>
      </c>
      <c r="R31" s="357">
        <v>3780</v>
      </c>
      <c r="S31" s="355">
        <v>0</v>
      </c>
      <c r="T31" s="356">
        <v>0</v>
      </c>
      <c r="V31" s="358">
        <v>12090</v>
      </c>
      <c r="W31" s="355">
        <v>0</v>
      </c>
      <c r="X31" s="358">
        <v>7980</v>
      </c>
      <c r="Y31" s="355">
        <v>0</v>
      </c>
      <c r="Z31" s="358">
        <v>6237</v>
      </c>
      <c r="AA31" s="355"/>
      <c r="AB31" s="354">
        <v>26307</v>
      </c>
      <c r="AC31" s="355">
        <v>0</v>
      </c>
      <c r="AD31" s="358">
        <v>1170</v>
      </c>
      <c r="AE31" s="355">
        <v>0</v>
      </c>
      <c r="AF31" s="358">
        <v>210</v>
      </c>
      <c r="AG31" s="355">
        <v>0</v>
      </c>
      <c r="AH31" s="358">
        <v>660</v>
      </c>
      <c r="AI31" s="355"/>
      <c r="AJ31" s="358">
        <v>2040</v>
      </c>
      <c r="AK31" s="356">
        <v>0</v>
      </c>
      <c r="AL31" s="358">
        <v>28347</v>
      </c>
      <c r="AM31" s="356">
        <v>0</v>
      </c>
      <c r="AO31" s="358">
        <v>210</v>
      </c>
      <c r="AP31" s="355">
        <v>0</v>
      </c>
      <c r="AQ31" s="358">
        <v>297</v>
      </c>
      <c r="AR31" s="355">
        <v>0</v>
      </c>
      <c r="AS31" s="358">
        <v>297</v>
      </c>
      <c r="AT31" s="355"/>
      <c r="AU31" s="358">
        <v>804</v>
      </c>
      <c r="AV31" s="356">
        <v>0</v>
      </c>
    </row>
    <row r="32" spans="1:48" x14ac:dyDescent="0.25">
      <c r="A32" s="477">
        <v>146855</v>
      </c>
      <c r="B32" s="359" t="s">
        <v>116</v>
      </c>
      <c r="C32">
        <v>2464</v>
      </c>
      <c r="D32" t="s">
        <v>827</v>
      </c>
      <c r="E32" s="353">
        <v>5460</v>
      </c>
      <c r="F32" s="354">
        <v>4017</v>
      </c>
      <c r="G32" s="355">
        <v>0</v>
      </c>
      <c r="H32" s="356">
        <v>0</v>
      </c>
      <c r="I32" s="353">
        <v>4200</v>
      </c>
      <c r="J32" s="354">
        <v>2100</v>
      </c>
      <c r="K32" s="355">
        <v>0</v>
      </c>
      <c r="L32" s="356">
        <v>0</v>
      </c>
      <c r="M32" s="353">
        <v>4620</v>
      </c>
      <c r="N32" s="354">
        <v>3465</v>
      </c>
      <c r="O32" s="355"/>
      <c r="P32" s="356"/>
      <c r="Q32" s="353">
        <v>14280</v>
      </c>
      <c r="R32" s="357">
        <v>9582</v>
      </c>
      <c r="S32" s="355">
        <v>0</v>
      </c>
      <c r="T32" s="356">
        <v>0</v>
      </c>
      <c r="V32" s="358">
        <v>1560</v>
      </c>
      <c r="W32" s="355">
        <v>0</v>
      </c>
      <c r="X32" s="358">
        <v>1680</v>
      </c>
      <c r="Y32" s="355">
        <v>0</v>
      </c>
      <c r="Z32" s="358">
        <v>990</v>
      </c>
      <c r="AA32" s="355"/>
      <c r="AB32" s="354">
        <v>4230</v>
      </c>
      <c r="AC32" s="355">
        <v>0</v>
      </c>
      <c r="AD32" s="358">
        <v>5850</v>
      </c>
      <c r="AE32" s="355">
        <v>0</v>
      </c>
      <c r="AF32" s="358">
        <v>3150</v>
      </c>
      <c r="AG32" s="355">
        <v>0</v>
      </c>
      <c r="AH32" s="358">
        <v>4620</v>
      </c>
      <c r="AI32" s="355"/>
      <c r="AJ32" s="358">
        <v>13620</v>
      </c>
      <c r="AK32" s="356">
        <v>0</v>
      </c>
      <c r="AL32" s="358">
        <v>17850</v>
      </c>
      <c r="AM32" s="356">
        <v>0</v>
      </c>
      <c r="AO32" s="358">
        <v>0</v>
      </c>
      <c r="AP32" s="355">
        <v>0</v>
      </c>
      <c r="AQ32" s="358">
        <v>0</v>
      </c>
      <c r="AR32" s="355">
        <v>0</v>
      </c>
      <c r="AS32" s="358">
        <v>0</v>
      </c>
      <c r="AT32" s="355"/>
      <c r="AU32" s="358">
        <v>0</v>
      </c>
      <c r="AV32" s="356">
        <v>0</v>
      </c>
    </row>
    <row r="33" spans="1:48" x14ac:dyDescent="0.25">
      <c r="A33" s="477">
        <v>146877</v>
      </c>
      <c r="B33" s="359" t="s">
        <v>88</v>
      </c>
      <c r="C33">
        <v>2004</v>
      </c>
      <c r="D33" t="s">
        <v>828</v>
      </c>
      <c r="E33" s="353">
        <v>4680</v>
      </c>
      <c r="F33" s="354">
        <v>1950</v>
      </c>
      <c r="G33" s="355">
        <v>0</v>
      </c>
      <c r="H33" s="356">
        <v>0</v>
      </c>
      <c r="I33" s="353">
        <v>3570</v>
      </c>
      <c r="J33" s="354">
        <v>630</v>
      </c>
      <c r="K33" s="355">
        <v>0</v>
      </c>
      <c r="L33" s="356">
        <v>0</v>
      </c>
      <c r="M33" s="353">
        <v>3300</v>
      </c>
      <c r="N33" s="354">
        <v>1650</v>
      </c>
      <c r="O33" s="355"/>
      <c r="P33" s="356"/>
      <c r="Q33" s="353">
        <v>11550</v>
      </c>
      <c r="R33" s="357">
        <v>4230</v>
      </c>
      <c r="S33" s="355">
        <v>0</v>
      </c>
      <c r="T33" s="356">
        <v>0</v>
      </c>
      <c r="V33" s="358">
        <v>3315</v>
      </c>
      <c r="W33" s="355">
        <v>0</v>
      </c>
      <c r="X33" s="358">
        <v>2520</v>
      </c>
      <c r="Y33" s="355">
        <v>0</v>
      </c>
      <c r="Z33" s="358">
        <v>2475</v>
      </c>
      <c r="AA33" s="355"/>
      <c r="AB33" s="354">
        <v>8310</v>
      </c>
      <c r="AC33" s="355">
        <v>0</v>
      </c>
      <c r="AD33" s="358">
        <v>2730</v>
      </c>
      <c r="AE33" s="355">
        <v>0</v>
      </c>
      <c r="AF33" s="358">
        <v>1470</v>
      </c>
      <c r="AG33" s="355">
        <v>0</v>
      </c>
      <c r="AH33" s="358">
        <v>2145</v>
      </c>
      <c r="AI33" s="355"/>
      <c r="AJ33" s="358">
        <v>6345</v>
      </c>
      <c r="AK33" s="356">
        <v>0</v>
      </c>
      <c r="AL33" s="358">
        <v>14655</v>
      </c>
      <c r="AM33" s="356">
        <v>0</v>
      </c>
      <c r="AO33" s="358">
        <v>0</v>
      </c>
      <c r="AP33" s="355">
        <v>0</v>
      </c>
      <c r="AQ33" s="358">
        <v>0</v>
      </c>
      <c r="AR33" s="355">
        <v>0</v>
      </c>
      <c r="AS33" s="358">
        <v>0</v>
      </c>
      <c r="AT33" s="355"/>
      <c r="AU33" s="358">
        <v>0</v>
      </c>
      <c r="AV33" s="356">
        <v>0</v>
      </c>
    </row>
    <row r="34" spans="1:48" x14ac:dyDescent="0.25">
      <c r="A34" s="477">
        <v>148384</v>
      </c>
      <c r="B34" s="359" t="s">
        <v>629</v>
      </c>
      <c r="C34">
        <v>2432</v>
      </c>
      <c r="D34" t="s">
        <v>829</v>
      </c>
      <c r="E34" s="353">
        <v>9750</v>
      </c>
      <c r="F34" s="354">
        <v>2145</v>
      </c>
      <c r="G34" s="355">
        <v>0</v>
      </c>
      <c r="H34" s="356">
        <v>0</v>
      </c>
      <c r="I34" s="353">
        <v>6090</v>
      </c>
      <c r="J34" s="354">
        <v>2100</v>
      </c>
      <c r="K34" s="355">
        <v>0</v>
      </c>
      <c r="L34" s="356">
        <v>0</v>
      </c>
      <c r="M34" s="353">
        <v>7084</v>
      </c>
      <c r="N34" s="354">
        <v>1980</v>
      </c>
      <c r="O34" s="355"/>
      <c r="P34" s="356"/>
      <c r="Q34" s="353">
        <v>22924</v>
      </c>
      <c r="R34" s="357">
        <v>6225</v>
      </c>
      <c r="S34" s="355">
        <v>0</v>
      </c>
      <c r="T34" s="356">
        <v>0</v>
      </c>
      <c r="V34" s="358">
        <v>4095</v>
      </c>
      <c r="W34" s="355">
        <v>0</v>
      </c>
      <c r="X34" s="358">
        <v>2940</v>
      </c>
      <c r="Y34" s="355">
        <v>0</v>
      </c>
      <c r="Z34" s="358">
        <v>2805</v>
      </c>
      <c r="AA34" s="355"/>
      <c r="AB34" s="354">
        <v>9840</v>
      </c>
      <c r="AC34" s="355">
        <v>0</v>
      </c>
      <c r="AD34" s="358">
        <v>6630</v>
      </c>
      <c r="AE34" s="355">
        <v>0</v>
      </c>
      <c r="AF34" s="358">
        <v>4410</v>
      </c>
      <c r="AG34" s="355">
        <v>0</v>
      </c>
      <c r="AH34" s="358">
        <v>5434</v>
      </c>
      <c r="AI34" s="355"/>
      <c r="AJ34" s="358">
        <v>16474</v>
      </c>
      <c r="AK34" s="356">
        <v>0</v>
      </c>
      <c r="AL34" s="358">
        <v>26314</v>
      </c>
      <c r="AM34" s="356">
        <v>0</v>
      </c>
      <c r="AO34" s="358">
        <v>2730</v>
      </c>
      <c r="AP34" s="355">
        <v>0</v>
      </c>
      <c r="AQ34" s="358">
        <v>2640</v>
      </c>
      <c r="AR34" s="355">
        <v>0</v>
      </c>
      <c r="AS34" s="358">
        <v>2640</v>
      </c>
      <c r="AT34" s="355"/>
      <c r="AU34" s="358">
        <v>8010</v>
      </c>
      <c r="AV34" s="356">
        <v>0</v>
      </c>
    </row>
    <row r="35" spans="1:48" x14ac:dyDescent="0.25">
      <c r="A35" s="477">
        <v>144624</v>
      </c>
      <c r="B35" s="359" t="s">
        <v>100</v>
      </c>
      <c r="C35">
        <v>2018</v>
      </c>
      <c r="D35" t="s">
        <v>830</v>
      </c>
      <c r="E35" s="353">
        <v>8385</v>
      </c>
      <c r="F35" s="354">
        <v>2925</v>
      </c>
      <c r="G35" s="355">
        <v>0</v>
      </c>
      <c r="H35" s="356">
        <v>0</v>
      </c>
      <c r="I35" s="353">
        <v>6090</v>
      </c>
      <c r="J35" s="354">
        <v>1470</v>
      </c>
      <c r="K35" s="355">
        <v>0</v>
      </c>
      <c r="L35" s="356">
        <v>0</v>
      </c>
      <c r="M35" s="353">
        <v>7095</v>
      </c>
      <c r="N35" s="354">
        <v>1980</v>
      </c>
      <c r="O35" s="355"/>
      <c r="P35" s="356"/>
      <c r="Q35" s="353">
        <v>21570</v>
      </c>
      <c r="R35" s="357">
        <v>6375</v>
      </c>
      <c r="S35" s="355">
        <v>0</v>
      </c>
      <c r="T35" s="356">
        <v>0</v>
      </c>
      <c r="V35" s="358">
        <v>3705</v>
      </c>
      <c r="W35" s="355">
        <v>0</v>
      </c>
      <c r="X35" s="358">
        <v>2100</v>
      </c>
      <c r="Y35" s="355">
        <v>0</v>
      </c>
      <c r="Z35" s="358">
        <v>2805</v>
      </c>
      <c r="AA35" s="355"/>
      <c r="AB35" s="354">
        <v>8610</v>
      </c>
      <c r="AC35" s="355">
        <v>0</v>
      </c>
      <c r="AD35" s="358">
        <v>6240</v>
      </c>
      <c r="AE35" s="355">
        <v>0</v>
      </c>
      <c r="AF35" s="358">
        <v>3570</v>
      </c>
      <c r="AG35" s="355">
        <v>0</v>
      </c>
      <c r="AH35" s="358">
        <v>4950</v>
      </c>
      <c r="AI35" s="355"/>
      <c r="AJ35" s="358">
        <v>14760</v>
      </c>
      <c r="AK35" s="356">
        <v>0</v>
      </c>
      <c r="AL35" s="358">
        <v>23370</v>
      </c>
      <c r="AM35" s="356">
        <v>0</v>
      </c>
      <c r="AO35" s="358">
        <v>0</v>
      </c>
      <c r="AP35" s="355">
        <v>0</v>
      </c>
      <c r="AQ35" s="358">
        <v>0</v>
      </c>
      <c r="AR35" s="355">
        <v>0</v>
      </c>
      <c r="AS35" s="358">
        <v>0</v>
      </c>
      <c r="AT35" s="355"/>
      <c r="AU35" s="358">
        <v>0</v>
      </c>
      <c r="AV35" s="356">
        <v>0</v>
      </c>
    </row>
    <row r="36" spans="1:48" x14ac:dyDescent="0.25">
      <c r="A36" s="477">
        <v>147119</v>
      </c>
      <c r="B36" s="359" t="s">
        <v>121</v>
      </c>
      <c r="C36">
        <v>2512</v>
      </c>
      <c r="D36" t="s">
        <v>831</v>
      </c>
      <c r="E36" s="353">
        <v>7020</v>
      </c>
      <c r="F36" s="354">
        <v>2769</v>
      </c>
      <c r="G36" s="355">
        <v>0</v>
      </c>
      <c r="H36" s="356">
        <v>0</v>
      </c>
      <c r="I36" s="353">
        <v>5040</v>
      </c>
      <c r="J36" s="354">
        <v>3570</v>
      </c>
      <c r="K36" s="355">
        <v>0</v>
      </c>
      <c r="L36" s="356">
        <v>0</v>
      </c>
      <c r="M36" s="353">
        <v>5775</v>
      </c>
      <c r="N36" s="354">
        <v>2244</v>
      </c>
      <c r="O36" s="355"/>
      <c r="P36" s="356"/>
      <c r="Q36" s="353">
        <v>17835</v>
      </c>
      <c r="R36" s="357">
        <v>8583</v>
      </c>
      <c r="S36" s="355">
        <v>0</v>
      </c>
      <c r="T36" s="356">
        <v>0</v>
      </c>
      <c r="V36" s="358">
        <v>195</v>
      </c>
      <c r="W36" s="355">
        <v>0</v>
      </c>
      <c r="X36" s="358">
        <v>336</v>
      </c>
      <c r="Y36" s="355">
        <v>0</v>
      </c>
      <c r="Z36" s="358">
        <v>198</v>
      </c>
      <c r="AA36" s="355"/>
      <c r="AB36" s="354">
        <v>729</v>
      </c>
      <c r="AC36" s="355">
        <v>0</v>
      </c>
      <c r="AD36" s="358">
        <v>2340</v>
      </c>
      <c r="AE36" s="355">
        <v>0</v>
      </c>
      <c r="AF36" s="358">
        <v>2310</v>
      </c>
      <c r="AG36" s="355">
        <v>0</v>
      </c>
      <c r="AH36" s="358">
        <v>1980</v>
      </c>
      <c r="AI36" s="355"/>
      <c r="AJ36" s="358">
        <v>6630</v>
      </c>
      <c r="AK36" s="356">
        <v>0</v>
      </c>
      <c r="AL36" s="358">
        <v>7359</v>
      </c>
      <c r="AM36" s="356">
        <v>0</v>
      </c>
      <c r="AO36" s="358">
        <v>0</v>
      </c>
      <c r="AP36" s="355">
        <v>0</v>
      </c>
      <c r="AQ36" s="358">
        <v>0</v>
      </c>
      <c r="AR36" s="355">
        <v>0</v>
      </c>
      <c r="AS36" s="358">
        <v>0</v>
      </c>
      <c r="AT36" s="355"/>
      <c r="AU36" s="358">
        <v>0</v>
      </c>
      <c r="AV36" s="356">
        <v>0</v>
      </c>
    </row>
    <row r="37" spans="1:48" x14ac:dyDescent="0.25">
      <c r="A37" s="477">
        <v>140842</v>
      </c>
      <c r="B37" s="359" t="s">
        <v>630</v>
      </c>
      <c r="C37">
        <v>2011</v>
      </c>
      <c r="D37" t="s">
        <v>832</v>
      </c>
      <c r="E37" s="353">
        <v>5655</v>
      </c>
      <c r="F37" s="354">
        <v>2145</v>
      </c>
      <c r="G37" s="355">
        <v>0</v>
      </c>
      <c r="H37" s="356">
        <v>0</v>
      </c>
      <c r="I37" s="353">
        <v>2100</v>
      </c>
      <c r="J37" s="354">
        <v>420</v>
      </c>
      <c r="K37" s="355">
        <v>0</v>
      </c>
      <c r="L37" s="356">
        <v>0</v>
      </c>
      <c r="M37" s="353">
        <v>4125</v>
      </c>
      <c r="N37" s="354">
        <v>1320</v>
      </c>
      <c r="O37" s="355"/>
      <c r="P37" s="356"/>
      <c r="Q37" s="353">
        <v>11880</v>
      </c>
      <c r="R37" s="357">
        <v>3885</v>
      </c>
      <c r="S37" s="355">
        <v>0</v>
      </c>
      <c r="T37" s="356">
        <v>0</v>
      </c>
      <c r="V37" s="358">
        <v>2340</v>
      </c>
      <c r="W37" s="355">
        <v>0</v>
      </c>
      <c r="X37" s="358">
        <v>1890</v>
      </c>
      <c r="Y37" s="355">
        <v>0</v>
      </c>
      <c r="Z37" s="358">
        <v>1815</v>
      </c>
      <c r="AA37" s="355"/>
      <c r="AB37" s="354">
        <v>6045</v>
      </c>
      <c r="AC37" s="355">
        <v>0</v>
      </c>
      <c r="AD37" s="358">
        <v>3900</v>
      </c>
      <c r="AE37" s="355">
        <v>0</v>
      </c>
      <c r="AF37" s="358">
        <v>210</v>
      </c>
      <c r="AG37" s="355">
        <v>0</v>
      </c>
      <c r="AH37" s="358">
        <v>2805</v>
      </c>
      <c r="AI37" s="355"/>
      <c r="AJ37" s="358">
        <v>6915</v>
      </c>
      <c r="AK37" s="356">
        <v>0</v>
      </c>
      <c r="AL37" s="358">
        <v>12960</v>
      </c>
      <c r="AM37" s="356">
        <v>0</v>
      </c>
      <c r="AO37" s="358">
        <v>420</v>
      </c>
      <c r="AP37" s="355">
        <v>0</v>
      </c>
      <c r="AQ37" s="358">
        <v>0</v>
      </c>
      <c r="AR37" s="355">
        <v>0</v>
      </c>
      <c r="AS37" s="358">
        <v>0</v>
      </c>
      <c r="AT37" s="355"/>
      <c r="AU37" s="358">
        <v>420</v>
      </c>
      <c r="AV37" s="356">
        <v>0</v>
      </c>
    </row>
    <row r="38" spans="1:48" x14ac:dyDescent="0.25">
      <c r="A38" s="477">
        <v>146847</v>
      </c>
      <c r="B38" s="359" t="s">
        <v>135</v>
      </c>
      <c r="C38">
        <v>5201</v>
      </c>
      <c r="D38" t="s">
        <v>833</v>
      </c>
      <c r="E38" s="353">
        <v>4095</v>
      </c>
      <c r="F38" s="354">
        <v>2060.5</v>
      </c>
      <c r="G38" s="355">
        <v>0</v>
      </c>
      <c r="H38" s="356">
        <v>0</v>
      </c>
      <c r="I38" s="353">
        <v>2940</v>
      </c>
      <c r="J38" s="354">
        <v>1260</v>
      </c>
      <c r="K38" s="355">
        <v>0</v>
      </c>
      <c r="L38" s="356">
        <v>0</v>
      </c>
      <c r="M38" s="353">
        <v>3465</v>
      </c>
      <c r="N38" s="354">
        <v>1875.5</v>
      </c>
      <c r="O38" s="355"/>
      <c r="P38" s="356"/>
      <c r="Q38" s="353">
        <v>10500</v>
      </c>
      <c r="R38" s="357">
        <v>5196</v>
      </c>
      <c r="S38" s="355">
        <v>0</v>
      </c>
      <c r="T38" s="356">
        <v>0</v>
      </c>
      <c r="V38" s="358">
        <v>819</v>
      </c>
      <c r="W38" s="355">
        <v>0</v>
      </c>
      <c r="X38" s="358">
        <v>210</v>
      </c>
      <c r="Y38" s="355">
        <v>0</v>
      </c>
      <c r="Z38" s="358">
        <v>693</v>
      </c>
      <c r="AA38" s="355"/>
      <c r="AB38" s="354">
        <v>1722</v>
      </c>
      <c r="AC38" s="355">
        <v>0</v>
      </c>
      <c r="AD38" s="358">
        <v>773.5</v>
      </c>
      <c r="AE38" s="355">
        <v>0</v>
      </c>
      <c r="AF38" s="358">
        <v>210</v>
      </c>
      <c r="AG38" s="355">
        <v>0</v>
      </c>
      <c r="AH38" s="358">
        <v>654.5</v>
      </c>
      <c r="AI38" s="355"/>
      <c r="AJ38" s="358">
        <v>1638</v>
      </c>
      <c r="AK38" s="356">
        <v>0</v>
      </c>
      <c r="AL38" s="358">
        <v>3360</v>
      </c>
      <c r="AM38" s="356">
        <v>0</v>
      </c>
      <c r="AO38" s="358">
        <v>0</v>
      </c>
      <c r="AP38" s="355">
        <v>0</v>
      </c>
      <c r="AQ38" s="358">
        <v>0</v>
      </c>
      <c r="AR38" s="355">
        <v>0</v>
      </c>
      <c r="AS38" s="358">
        <v>0</v>
      </c>
      <c r="AT38" s="355"/>
      <c r="AU38" s="358">
        <v>0</v>
      </c>
      <c r="AV38" s="356">
        <v>0</v>
      </c>
    </row>
    <row r="39" spans="1:48" x14ac:dyDescent="0.25">
      <c r="A39" s="477">
        <v>147125</v>
      </c>
      <c r="B39" s="359" t="s">
        <v>631</v>
      </c>
      <c r="C39">
        <v>2456</v>
      </c>
      <c r="D39" t="s">
        <v>834</v>
      </c>
      <c r="E39" s="353">
        <v>6643</v>
      </c>
      <c r="F39" s="354">
        <v>2288</v>
      </c>
      <c r="G39" s="355">
        <v>0</v>
      </c>
      <c r="H39" s="356">
        <v>0</v>
      </c>
      <c r="I39" s="353">
        <v>6930</v>
      </c>
      <c r="J39" s="354">
        <v>2940</v>
      </c>
      <c r="K39" s="355">
        <v>0</v>
      </c>
      <c r="L39" s="356">
        <v>0</v>
      </c>
      <c r="M39" s="353">
        <v>5126</v>
      </c>
      <c r="N39" s="354">
        <v>2101</v>
      </c>
      <c r="O39" s="355"/>
      <c r="P39" s="356"/>
      <c r="Q39" s="353">
        <v>18699</v>
      </c>
      <c r="R39" s="357">
        <v>7329</v>
      </c>
      <c r="S39" s="355">
        <v>0</v>
      </c>
      <c r="T39" s="356">
        <v>0</v>
      </c>
      <c r="V39" s="358">
        <v>780</v>
      </c>
      <c r="W39" s="355">
        <v>0</v>
      </c>
      <c r="X39" s="358">
        <v>210</v>
      </c>
      <c r="Y39" s="355">
        <v>0</v>
      </c>
      <c r="Z39" s="358">
        <v>495</v>
      </c>
      <c r="AA39" s="355"/>
      <c r="AB39" s="354">
        <v>1485</v>
      </c>
      <c r="AC39" s="355">
        <v>0</v>
      </c>
      <c r="AD39" s="358">
        <v>1755</v>
      </c>
      <c r="AE39" s="355">
        <v>0</v>
      </c>
      <c r="AF39" s="358">
        <v>2310</v>
      </c>
      <c r="AG39" s="355">
        <v>0</v>
      </c>
      <c r="AH39" s="358">
        <v>1485</v>
      </c>
      <c r="AI39" s="355"/>
      <c r="AJ39" s="358">
        <v>5550</v>
      </c>
      <c r="AK39" s="356">
        <v>0</v>
      </c>
      <c r="AL39" s="358">
        <v>7035</v>
      </c>
      <c r="AM39" s="356">
        <v>0</v>
      </c>
      <c r="AO39" s="358">
        <v>5670</v>
      </c>
      <c r="AP39" s="355">
        <v>0</v>
      </c>
      <c r="AQ39" s="358">
        <v>2970</v>
      </c>
      <c r="AR39" s="355">
        <v>0</v>
      </c>
      <c r="AS39" s="358">
        <v>2970</v>
      </c>
      <c r="AT39" s="355"/>
      <c r="AU39" s="358">
        <v>11610</v>
      </c>
      <c r="AV39" s="356">
        <v>0</v>
      </c>
    </row>
    <row r="40" spans="1:48" x14ac:dyDescent="0.25">
      <c r="A40" s="477">
        <v>148585</v>
      </c>
      <c r="B40" s="359" t="s">
        <v>109</v>
      </c>
      <c r="C40">
        <v>2027</v>
      </c>
      <c r="D40" t="s">
        <v>835</v>
      </c>
      <c r="E40" s="353">
        <v>6045</v>
      </c>
      <c r="F40" s="354">
        <v>975</v>
      </c>
      <c r="G40" s="355">
        <v>0</v>
      </c>
      <c r="H40" s="356">
        <v>0</v>
      </c>
      <c r="I40" s="353">
        <v>4620</v>
      </c>
      <c r="J40" s="354">
        <v>840</v>
      </c>
      <c r="K40" s="355">
        <v>0</v>
      </c>
      <c r="L40" s="356">
        <v>0</v>
      </c>
      <c r="M40" s="353">
        <v>4950</v>
      </c>
      <c r="N40" s="354">
        <v>660</v>
      </c>
      <c r="O40" s="355"/>
      <c r="P40" s="356"/>
      <c r="Q40" s="353">
        <v>15615</v>
      </c>
      <c r="R40" s="357">
        <v>2475</v>
      </c>
      <c r="S40" s="355">
        <v>0</v>
      </c>
      <c r="T40" s="356">
        <v>0</v>
      </c>
      <c r="V40" s="358">
        <v>3120</v>
      </c>
      <c r="W40" s="355">
        <v>0</v>
      </c>
      <c r="X40" s="358">
        <v>2100</v>
      </c>
      <c r="Y40" s="355">
        <v>0</v>
      </c>
      <c r="Z40" s="358">
        <v>2640</v>
      </c>
      <c r="AA40" s="355"/>
      <c r="AB40" s="354">
        <v>7860</v>
      </c>
      <c r="AC40" s="355">
        <v>0</v>
      </c>
      <c r="AD40" s="358">
        <v>1950</v>
      </c>
      <c r="AE40" s="355">
        <v>0</v>
      </c>
      <c r="AF40" s="358">
        <v>1470</v>
      </c>
      <c r="AG40" s="355">
        <v>0</v>
      </c>
      <c r="AH40" s="358">
        <v>1320</v>
      </c>
      <c r="AI40" s="355"/>
      <c r="AJ40" s="358">
        <v>4740</v>
      </c>
      <c r="AK40" s="356">
        <v>0</v>
      </c>
      <c r="AL40" s="358">
        <v>12600</v>
      </c>
      <c r="AM40" s="356">
        <v>0</v>
      </c>
      <c r="AO40" s="358">
        <v>3570</v>
      </c>
      <c r="AP40" s="355">
        <v>0</v>
      </c>
      <c r="AQ40" s="358">
        <v>3465</v>
      </c>
      <c r="AR40" s="355">
        <v>0</v>
      </c>
      <c r="AS40" s="358">
        <v>3465</v>
      </c>
      <c r="AT40" s="355"/>
      <c r="AU40" s="358">
        <v>10500</v>
      </c>
      <c r="AV40" s="356">
        <v>0</v>
      </c>
    </row>
    <row r="41" spans="1:48" x14ac:dyDescent="0.25">
      <c r="A41" s="477">
        <v>145592</v>
      </c>
      <c r="B41" s="359" t="s">
        <v>118</v>
      </c>
      <c r="C41">
        <v>2467</v>
      </c>
      <c r="D41" t="s">
        <v>836</v>
      </c>
      <c r="E41" s="353">
        <v>5460</v>
      </c>
      <c r="F41" s="354">
        <v>3120</v>
      </c>
      <c r="G41" s="355">
        <v>0</v>
      </c>
      <c r="H41" s="356">
        <v>0</v>
      </c>
      <c r="I41" s="353">
        <v>3780</v>
      </c>
      <c r="J41" s="354">
        <v>1890</v>
      </c>
      <c r="K41" s="355">
        <v>0</v>
      </c>
      <c r="L41" s="356">
        <v>0</v>
      </c>
      <c r="M41" s="353">
        <v>3960</v>
      </c>
      <c r="N41" s="354">
        <v>2310</v>
      </c>
      <c r="O41" s="355"/>
      <c r="P41" s="356"/>
      <c r="Q41" s="353">
        <v>13200</v>
      </c>
      <c r="R41" s="357">
        <v>7320</v>
      </c>
      <c r="S41" s="355">
        <v>0</v>
      </c>
      <c r="T41" s="356">
        <v>0</v>
      </c>
      <c r="V41" s="358">
        <v>4290</v>
      </c>
      <c r="W41" s="355">
        <v>0</v>
      </c>
      <c r="X41" s="358">
        <v>2940</v>
      </c>
      <c r="Y41" s="355">
        <v>0</v>
      </c>
      <c r="Z41" s="358">
        <v>3300</v>
      </c>
      <c r="AA41" s="355"/>
      <c r="AB41" s="354">
        <v>10530</v>
      </c>
      <c r="AC41" s="355">
        <v>0</v>
      </c>
      <c r="AD41" s="358">
        <v>2145</v>
      </c>
      <c r="AE41" s="355">
        <v>0</v>
      </c>
      <c r="AF41" s="358">
        <v>1470</v>
      </c>
      <c r="AG41" s="355">
        <v>0</v>
      </c>
      <c r="AH41" s="358">
        <v>1485</v>
      </c>
      <c r="AI41" s="355"/>
      <c r="AJ41" s="358">
        <v>5100</v>
      </c>
      <c r="AK41" s="356">
        <v>0</v>
      </c>
      <c r="AL41" s="358">
        <v>15630</v>
      </c>
      <c r="AM41" s="356">
        <v>0</v>
      </c>
      <c r="AO41" s="358">
        <v>0</v>
      </c>
      <c r="AP41" s="355">
        <v>0</v>
      </c>
      <c r="AQ41" s="358">
        <v>0</v>
      </c>
      <c r="AR41" s="355">
        <v>0</v>
      </c>
      <c r="AS41" s="358">
        <v>0</v>
      </c>
      <c r="AT41" s="355"/>
      <c r="AU41" s="358">
        <v>0</v>
      </c>
      <c r="AV41" s="356">
        <v>0</v>
      </c>
    </row>
    <row r="42" spans="1:48" x14ac:dyDescent="0.25">
      <c r="A42" s="477">
        <v>146921</v>
      </c>
      <c r="B42" s="359" t="s">
        <v>112</v>
      </c>
      <c r="C42">
        <v>2451</v>
      </c>
      <c r="D42" t="s">
        <v>837</v>
      </c>
      <c r="E42" s="353">
        <v>6825</v>
      </c>
      <c r="F42" s="354">
        <v>3510</v>
      </c>
      <c r="G42" s="355">
        <v>0</v>
      </c>
      <c r="H42" s="356">
        <v>0</v>
      </c>
      <c r="I42" s="353">
        <v>9786</v>
      </c>
      <c r="J42" s="354">
        <v>5250</v>
      </c>
      <c r="K42" s="355">
        <v>0</v>
      </c>
      <c r="L42" s="356">
        <v>0</v>
      </c>
      <c r="M42" s="353">
        <v>5775</v>
      </c>
      <c r="N42" s="354">
        <v>3135</v>
      </c>
      <c r="O42" s="355"/>
      <c r="P42" s="356"/>
      <c r="Q42" s="353">
        <v>22386</v>
      </c>
      <c r="R42" s="357">
        <v>11895</v>
      </c>
      <c r="S42" s="355">
        <v>0</v>
      </c>
      <c r="T42" s="356">
        <v>0</v>
      </c>
      <c r="V42" s="358">
        <v>4485</v>
      </c>
      <c r="W42" s="355">
        <v>0</v>
      </c>
      <c r="X42" s="358">
        <v>5418</v>
      </c>
      <c r="Y42" s="355">
        <v>0</v>
      </c>
      <c r="Z42" s="358">
        <v>3795</v>
      </c>
      <c r="AA42" s="355"/>
      <c r="AB42" s="354">
        <v>13698</v>
      </c>
      <c r="AC42" s="355">
        <v>0</v>
      </c>
      <c r="AD42" s="358">
        <v>780</v>
      </c>
      <c r="AE42" s="355">
        <v>0</v>
      </c>
      <c r="AF42" s="358">
        <v>1638</v>
      </c>
      <c r="AG42" s="355">
        <v>0</v>
      </c>
      <c r="AH42" s="358">
        <v>660</v>
      </c>
      <c r="AI42" s="355"/>
      <c r="AJ42" s="358">
        <v>3078</v>
      </c>
      <c r="AK42" s="356">
        <v>0</v>
      </c>
      <c r="AL42" s="358">
        <v>16776</v>
      </c>
      <c r="AM42" s="356">
        <v>0</v>
      </c>
      <c r="AO42" s="358">
        <v>0</v>
      </c>
      <c r="AP42" s="355">
        <v>0</v>
      </c>
      <c r="AQ42" s="358">
        <v>0</v>
      </c>
      <c r="AR42" s="355">
        <v>0</v>
      </c>
      <c r="AS42" s="358">
        <v>0</v>
      </c>
      <c r="AT42" s="355"/>
      <c r="AU42" s="358">
        <v>0</v>
      </c>
      <c r="AV42" s="356">
        <v>0</v>
      </c>
    </row>
    <row r="43" spans="1:48" x14ac:dyDescent="0.25">
      <c r="A43" s="477">
        <v>145982</v>
      </c>
      <c r="B43" s="359" t="s">
        <v>632</v>
      </c>
      <c r="C43">
        <v>2023</v>
      </c>
      <c r="D43" t="s">
        <v>838</v>
      </c>
      <c r="E43" s="353">
        <v>1755</v>
      </c>
      <c r="F43" s="354">
        <v>585</v>
      </c>
      <c r="G43" s="355">
        <v>0</v>
      </c>
      <c r="H43" s="356">
        <v>0</v>
      </c>
      <c r="I43" s="353">
        <v>1260</v>
      </c>
      <c r="J43" s="354">
        <v>420</v>
      </c>
      <c r="K43" s="355">
        <v>0</v>
      </c>
      <c r="L43" s="356">
        <v>0</v>
      </c>
      <c r="M43" s="353">
        <v>990</v>
      </c>
      <c r="N43" s="354">
        <v>330</v>
      </c>
      <c r="O43" s="355"/>
      <c r="P43" s="356"/>
      <c r="Q43" s="353">
        <v>4005</v>
      </c>
      <c r="R43" s="357">
        <v>1335</v>
      </c>
      <c r="S43" s="355">
        <v>0</v>
      </c>
      <c r="T43" s="356">
        <v>0</v>
      </c>
      <c r="V43" s="358">
        <v>975</v>
      </c>
      <c r="W43" s="355">
        <v>0</v>
      </c>
      <c r="X43" s="358">
        <v>1050</v>
      </c>
      <c r="Y43" s="355">
        <v>0</v>
      </c>
      <c r="Z43" s="358">
        <v>990</v>
      </c>
      <c r="AA43" s="355"/>
      <c r="AB43" s="354">
        <v>3015</v>
      </c>
      <c r="AC43" s="355">
        <v>0</v>
      </c>
      <c r="AD43" s="358">
        <v>390</v>
      </c>
      <c r="AE43" s="355">
        <v>0</v>
      </c>
      <c r="AF43" s="358">
        <v>0</v>
      </c>
      <c r="AG43" s="355">
        <v>0</v>
      </c>
      <c r="AH43" s="358">
        <v>0</v>
      </c>
      <c r="AI43" s="355"/>
      <c r="AJ43" s="358">
        <v>390</v>
      </c>
      <c r="AK43" s="356">
        <v>0</v>
      </c>
      <c r="AL43" s="358">
        <v>3405</v>
      </c>
      <c r="AM43" s="356">
        <v>0</v>
      </c>
      <c r="AO43" s="358">
        <v>840</v>
      </c>
      <c r="AP43" s="355">
        <v>0</v>
      </c>
      <c r="AQ43" s="358">
        <v>825</v>
      </c>
      <c r="AR43" s="355">
        <v>0</v>
      </c>
      <c r="AS43" s="358">
        <v>825</v>
      </c>
      <c r="AT43" s="355"/>
      <c r="AU43" s="358">
        <v>2490</v>
      </c>
      <c r="AV43" s="356">
        <v>0</v>
      </c>
    </row>
    <row r="44" spans="1:48" x14ac:dyDescent="0.25">
      <c r="A44" s="477">
        <v>144343</v>
      </c>
      <c r="B44" s="359" t="s">
        <v>633</v>
      </c>
      <c r="C44">
        <v>2016</v>
      </c>
      <c r="D44" t="s">
        <v>839</v>
      </c>
      <c r="E44" s="353">
        <v>7020</v>
      </c>
      <c r="F44" s="354">
        <v>1170</v>
      </c>
      <c r="G44" s="355">
        <v>0</v>
      </c>
      <c r="H44" s="356">
        <v>0</v>
      </c>
      <c r="I44" s="353">
        <v>4200</v>
      </c>
      <c r="J44" s="354">
        <v>1050</v>
      </c>
      <c r="K44" s="355">
        <v>0</v>
      </c>
      <c r="L44" s="356">
        <v>0</v>
      </c>
      <c r="M44" s="353">
        <v>5940</v>
      </c>
      <c r="N44" s="354">
        <v>825</v>
      </c>
      <c r="O44" s="355"/>
      <c r="P44" s="356"/>
      <c r="Q44" s="353">
        <v>17160</v>
      </c>
      <c r="R44" s="357">
        <v>3045</v>
      </c>
      <c r="S44" s="355">
        <v>0</v>
      </c>
      <c r="T44" s="356">
        <v>0</v>
      </c>
      <c r="V44" s="358">
        <v>7410</v>
      </c>
      <c r="W44" s="355">
        <v>0</v>
      </c>
      <c r="X44" s="358">
        <v>3990</v>
      </c>
      <c r="Y44" s="355">
        <v>0</v>
      </c>
      <c r="Z44" s="358">
        <v>6435</v>
      </c>
      <c r="AA44" s="355"/>
      <c r="AB44" s="354">
        <v>17835</v>
      </c>
      <c r="AC44" s="355">
        <v>0</v>
      </c>
      <c r="AD44" s="358">
        <v>585</v>
      </c>
      <c r="AE44" s="355">
        <v>0</v>
      </c>
      <c r="AF44" s="358">
        <v>1260</v>
      </c>
      <c r="AG44" s="355">
        <v>0</v>
      </c>
      <c r="AH44" s="358">
        <v>165</v>
      </c>
      <c r="AI44" s="355"/>
      <c r="AJ44" s="358">
        <v>2010</v>
      </c>
      <c r="AK44" s="356">
        <v>0</v>
      </c>
      <c r="AL44" s="358">
        <v>19845</v>
      </c>
      <c r="AM44" s="356">
        <v>0</v>
      </c>
      <c r="AO44" s="358">
        <v>840</v>
      </c>
      <c r="AP44" s="355">
        <v>0</v>
      </c>
      <c r="AQ44" s="358">
        <v>0</v>
      </c>
      <c r="AR44" s="355">
        <v>0</v>
      </c>
      <c r="AS44" s="358">
        <v>0</v>
      </c>
      <c r="AT44" s="355"/>
      <c r="AU44" s="358">
        <v>840</v>
      </c>
      <c r="AV44" s="356">
        <v>0</v>
      </c>
    </row>
    <row r="45" spans="1:48" x14ac:dyDescent="0.25">
      <c r="A45" s="477">
        <v>142041</v>
      </c>
      <c r="B45" s="359" t="s">
        <v>634</v>
      </c>
      <c r="C45">
        <v>2013</v>
      </c>
      <c r="D45" t="s">
        <v>840</v>
      </c>
      <c r="E45" s="353">
        <v>11115</v>
      </c>
      <c r="F45" s="354">
        <v>780</v>
      </c>
      <c r="G45" s="355">
        <v>0</v>
      </c>
      <c r="H45" s="356">
        <v>0</v>
      </c>
      <c r="I45" s="353">
        <v>6300</v>
      </c>
      <c r="J45" s="354">
        <v>210</v>
      </c>
      <c r="K45" s="355">
        <v>0</v>
      </c>
      <c r="L45" s="356">
        <v>0</v>
      </c>
      <c r="M45" s="353">
        <v>7095</v>
      </c>
      <c r="N45" s="354">
        <v>495</v>
      </c>
      <c r="O45" s="355"/>
      <c r="P45" s="356"/>
      <c r="Q45" s="353">
        <v>24510</v>
      </c>
      <c r="R45" s="357">
        <v>1485</v>
      </c>
      <c r="S45" s="355">
        <v>0</v>
      </c>
      <c r="T45" s="356">
        <v>0</v>
      </c>
      <c r="V45" s="358">
        <v>5850</v>
      </c>
      <c r="W45" s="355">
        <v>0</v>
      </c>
      <c r="X45" s="358">
        <v>3780</v>
      </c>
      <c r="Y45" s="355">
        <v>0</v>
      </c>
      <c r="Z45" s="358">
        <v>3300</v>
      </c>
      <c r="AA45" s="355"/>
      <c r="AB45" s="354">
        <v>12930</v>
      </c>
      <c r="AC45" s="355">
        <v>0</v>
      </c>
      <c r="AD45" s="358">
        <v>5460</v>
      </c>
      <c r="AE45" s="355">
        <v>0</v>
      </c>
      <c r="AF45" s="358">
        <v>2730</v>
      </c>
      <c r="AG45" s="355">
        <v>0</v>
      </c>
      <c r="AH45" s="358">
        <v>3795</v>
      </c>
      <c r="AI45" s="355"/>
      <c r="AJ45" s="358">
        <v>11985</v>
      </c>
      <c r="AK45" s="356">
        <v>0</v>
      </c>
      <c r="AL45" s="358">
        <v>24915</v>
      </c>
      <c r="AM45" s="356">
        <v>0</v>
      </c>
      <c r="AO45" s="358">
        <v>4200</v>
      </c>
      <c r="AP45" s="355">
        <v>0</v>
      </c>
      <c r="AQ45" s="358">
        <v>5280</v>
      </c>
      <c r="AR45" s="355">
        <v>0</v>
      </c>
      <c r="AS45" s="358">
        <v>5280</v>
      </c>
      <c r="AT45" s="355"/>
      <c r="AU45" s="358">
        <v>14760</v>
      </c>
      <c r="AV45" s="356">
        <v>0</v>
      </c>
    </row>
    <row r="46" spans="1:48" x14ac:dyDescent="0.25">
      <c r="A46" s="477">
        <v>138992</v>
      </c>
      <c r="B46" s="359" t="s">
        <v>635</v>
      </c>
      <c r="C46">
        <v>2010</v>
      </c>
      <c r="D46" t="s">
        <v>841</v>
      </c>
      <c r="E46" s="353">
        <v>6435</v>
      </c>
      <c r="F46" s="354">
        <v>585</v>
      </c>
      <c r="G46" s="355">
        <v>0</v>
      </c>
      <c r="H46" s="356">
        <v>0</v>
      </c>
      <c r="I46" s="353">
        <v>4410</v>
      </c>
      <c r="J46" s="354">
        <v>210</v>
      </c>
      <c r="K46" s="355">
        <v>0</v>
      </c>
      <c r="L46" s="356">
        <v>0</v>
      </c>
      <c r="M46" s="353">
        <v>3960</v>
      </c>
      <c r="N46" s="354">
        <v>330</v>
      </c>
      <c r="O46" s="355"/>
      <c r="P46" s="356"/>
      <c r="Q46" s="353">
        <v>14805</v>
      </c>
      <c r="R46" s="357">
        <v>1125</v>
      </c>
      <c r="S46" s="355">
        <v>0</v>
      </c>
      <c r="T46" s="356">
        <v>0</v>
      </c>
      <c r="V46" s="358">
        <v>3900</v>
      </c>
      <c r="W46" s="355">
        <v>0</v>
      </c>
      <c r="X46" s="358">
        <v>3150</v>
      </c>
      <c r="Y46" s="355">
        <v>0</v>
      </c>
      <c r="Z46" s="358">
        <v>2475</v>
      </c>
      <c r="AA46" s="355"/>
      <c r="AB46" s="354">
        <v>9525</v>
      </c>
      <c r="AC46" s="355">
        <v>0</v>
      </c>
      <c r="AD46" s="358">
        <v>585</v>
      </c>
      <c r="AE46" s="355">
        <v>0</v>
      </c>
      <c r="AF46" s="358">
        <v>210</v>
      </c>
      <c r="AG46" s="355">
        <v>0</v>
      </c>
      <c r="AH46" s="358">
        <v>330</v>
      </c>
      <c r="AI46" s="355"/>
      <c r="AJ46" s="358">
        <v>1125</v>
      </c>
      <c r="AK46" s="356">
        <v>0</v>
      </c>
      <c r="AL46" s="358">
        <v>10650</v>
      </c>
      <c r="AM46" s="356">
        <v>0</v>
      </c>
      <c r="AO46" s="358">
        <v>210</v>
      </c>
      <c r="AP46" s="355">
        <v>0</v>
      </c>
      <c r="AQ46" s="358">
        <v>330</v>
      </c>
      <c r="AR46" s="355">
        <v>0</v>
      </c>
      <c r="AS46" s="358">
        <v>330</v>
      </c>
      <c r="AT46" s="355"/>
      <c r="AU46" s="358">
        <v>870</v>
      </c>
      <c r="AV46" s="356">
        <v>0</v>
      </c>
    </row>
    <row r="47" spans="1:48" x14ac:dyDescent="0.25">
      <c r="A47" s="477">
        <v>146579</v>
      </c>
      <c r="B47" s="359" t="s">
        <v>87</v>
      </c>
      <c r="C47">
        <v>2002</v>
      </c>
      <c r="D47" t="s">
        <v>842</v>
      </c>
      <c r="E47" s="353">
        <v>6435</v>
      </c>
      <c r="F47" s="354">
        <v>3120</v>
      </c>
      <c r="G47" s="355">
        <v>0</v>
      </c>
      <c r="H47" s="356">
        <v>0</v>
      </c>
      <c r="I47" s="353">
        <v>7140</v>
      </c>
      <c r="J47" s="354">
        <v>3360</v>
      </c>
      <c r="K47" s="355">
        <v>0</v>
      </c>
      <c r="L47" s="356">
        <v>0</v>
      </c>
      <c r="M47" s="353">
        <v>5445</v>
      </c>
      <c r="N47" s="354">
        <v>2805</v>
      </c>
      <c r="O47" s="355"/>
      <c r="P47" s="356"/>
      <c r="Q47" s="353">
        <v>19020</v>
      </c>
      <c r="R47" s="357">
        <v>9285</v>
      </c>
      <c r="S47" s="355">
        <v>0</v>
      </c>
      <c r="T47" s="356">
        <v>0</v>
      </c>
      <c r="V47" s="358">
        <v>0</v>
      </c>
      <c r="W47" s="355">
        <v>0</v>
      </c>
      <c r="X47" s="358">
        <v>420</v>
      </c>
      <c r="Y47" s="355">
        <v>0</v>
      </c>
      <c r="Z47" s="358">
        <v>0</v>
      </c>
      <c r="AA47" s="355"/>
      <c r="AB47" s="354">
        <v>420</v>
      </c>
      <c r="AC47" s="355">
        <v>0</v>
      </c>
      <c r="AD47" s="358">
        <v>3120</v>
      </c>
      <c r="AE47" s="355">
        <v>0</v>
      </c>
      <c r="AF47" s="358">
        <v>3360</v>
      </c>
      <c r="AG47" s="355">
        <v>0</v>
      </c>
      <c r="AH47" s="358">
        <v>2640</v>
      </c>
      <c r="AI47" s="355"/>
      <c r="AJ47" s="358">
        <v>9120</v>
      </c>
      <c r="AK47" s="356">
        <v>0</v>
      </c>
      <c r="AL47" s="358">
        <v>9540</v>
      </c>
      <c r="AM47" s="356">
        <v>0</v>
      </c>
      <c r="AO47" s="358">
        <v>3570</v>
      </c>
      <c r="AP47" s="355">
        <v>0</v>
      </c>
      <c r="AQ47" s="358">
        <v>1320</v>
      </c>
      <c r="AR47" s="355">
        <v>0</v>
      </c>
      <c r="AS47" s="358">
        <v>1320</v>
      </c>
      <c r="AT47" s="355"/>
      <c r="AU47" s="358">
        <v>6210</v>
      </c>
      <c r="AV47" s="356">
        <v>0</v>
      </c>
    </row>
    <row r="48" spans="1:48" x14ac:dyDescent="0.25">
      <c r="A48" s="477">
        <v>146477</v>
      </c>
      <c r="B48" s="359" t="s">
        <v>636</v>
      </c>
      <c r="C48">
        <v>2006</v>
      </c>
      <c r="D48" t="s">
        <v>843</v>
      </c>
      <c r="E48" s="353">
        <v>6344</v>
      </c>
      <c r="F48" s="354">
        <v>3458</v>
      </c>
      <c r="G48" s="355">
        <v>0</v>
      </c>
      <c r="H48" s="356">
        <v>0</v>
      </c>
      <c r="I48" s="353">
        <v>6720</v>
      </c>
      <c r="J48" s="354">
        <v>2520</v>
      </c>
      <c r="K48" s="355">
        <v>0</v>
      </c>
      <c r="L48" s="356">
        <v>0</v>
      </c>
      <c r="M48" s="353">
        <v>5313</v>
      </c>
      <c r="N48" s="354">
        <v>3206.5</v>
      </c>
      <c r="O48" s="355"/>
      <c r="P48" s="356"/>
      <c r="Q48" s="353">
        <v>18377</v>
      </c>
      <c r="R48" s="357">
        <v>9184.5</v>
      </c>
      <c r="S48" s="355">
        <v>0</v>
      </c>
      <c r="T48" s="356">
        <v>0</v>
      </c>
      <c r="V48" s="358">
        <v>338</v>
      </c>
      <c r="W48" s="355">
        <v>0</v>
      </c>
      <c r="X48" s="358">
        <v>0</v>
      </c>
      <c r="Y48" s="355">
        <v>0</v>
      </c>
      <c r="Z48" s="358">
        <v>286</v>
      </c>
      <c r="AA48" s="355"/>
      <c r="AB48" s="354">
        <v>624</v>
      </c>
      <c r="AC48" s="355">
        <v>0</v>
      </c>
      <c r="AD48" s="358">
        <v>0</v>
      </c>
      <c r="AE48" s="355">
        <v>0</v>
      </c>
      <c r="AF48" s="358">
        <v>0</v>
      </c>
      <c r="AG48" s="355">
        <v>0</v>
      </c>
      <c r="AH48" s="358">
        <v>275</v>
      </c>
      <c r="AI48" s="355"/>
      <c r="AJ48" s="358">
        <v>275</v>
      </c>
      <c r="AK48" s="356">
        <v>0</v>
      </c>
      <c r="AL48" s="358">
        <v>899</v>
      </c>
      <c r="AM48" s="356">
        <v>0</v>
      </c>
      <c r="AO48" s="358">
        <v>210</v>
      </c>
      <c r="AP48" s="355">
        <v>0</v>
      </c>
      <c r="AQ48" s="358">
        <v>495</v>
      </c>
      <c r="AR48" s="355">
        <v>0</v>
      </c>
      <c r="AS48" s="358">
        <v>495</v>
      </c>
      <c r="AT48" s="355"/>
      <c r="AU48" s="358">
        <v>1200</v>
      </c>
      <c r="AV48" s="356">
        <v>0</v>
      </c>
    </row>
    <row r="49" spans="1:48" x14ac:dyDescent="0.25">
      <c r="A49" s="477">
        <v>147307</v>
      </c>
      <c r="B49" s="359" t="s">
        <v>106</v>
      </c>
      <c r="C49">
        <v>2024</v>
      </c>
      <c r="D49" t="s">
        <v>844</v>
      </c>
      <c r="E49" s="353">
        <v>5850</v>
      </c>
      <c r="F49" s="354">
        <v>4290</v>
      </c>
      <c r="G49" s="355">
        <v>0</v>
      </c>
      <c r="H49" s="356">
        <v>0</v>
      </c>
      <c r="I49" s="353">
        <v>3360</v>
      </c>
      <c r="J49" s="354">
        <v>2310</v>
      </c>
      <c r="K49" s="355">
        <v>0</v>
      </c>
      <c r="L49" s="356">
        <v>0</v>
      </c>
      <c r="M49" s="353">
        <v>4785</v>
      </c>
      <c r="N49" s="354">
        <v>3630</v>
      </c>
      <c r="O49" s="355"/>
      <c r="P49" s="356"/>
      <c r="Q49" s="353">
        <v>13995</v>
      </c>
      <c r="R49" s="357">
        <v>10230</v>
      </c>
      <c r="S49" s="355">
        <v>0</v>
      </c>
      <c r="T49" s="356">
        <v>0</v>
      </c>
      <c r="V49" s="358">
        <v>0</v>
      </c>
      <c r="W49" s="355">
        <v>0</v>
      </c>
      <c r="X49" s="358">
        <v>0</v>
      </c>
      <c r="Y49" s="355">
        <v>0</v>
      </c>
      <c r="Z49" s="358">
        <v>0</v>
      </c>
      <c r="AA49" s="355"/>
      <c r="AB49" s="354">
        <v>0</v>
      </c>
      <c r="AC49" s="355">
        <v>0</v>
      </c>
      <c r="AD49" s="358">
        <v>390</v>
      </c>
      <c r="AE49" s="355">
        <v>0</v>
      </c>
      <c r="AF49" s="358">
        <v>840</v>
      </c>
      <c r="AG49" s="355">
        <v>0</v>
      </c>
      <c r="AH49" s="358">
        <v>330</v>
      </c>
      <c r="AI49" s="355"/>
      <c r="AJ49" s="358">
        <v>1560</v>
      </c>
      <c r="AK49" s="356">
        <v>0</v>
      </c>
      <c r="AL49" s="358">
        <v>1560</v>
      </c>
      <c r="AM49" s="356">
        <v>0</v>
      </c>
      <c r="AO49" s="358">
        <v>210</v>
      </c>
      <c r="AP49" s="355">
        <v>0</v>
      </c>
      <c r="AQ49" s="358">
        <v>1155</v>
      </c>
      <c r="AR49" s="355">
        <v>0</v>
      </c>
      <c r="AS49" s="358">
        <v>1155</v>
      </c>
      <c r="AT49" s="355"/>
      <c r="AU49" s="358">
        <v>2520</v>
      </c>
      <c r="AV49" s="356">
        <v>0</v>
      </c>
    </row>
    <row r="50" spans="1:48" x14ac:dyDescent="0.25">
      <c r="A50" s="477">
        <v>143875</v>
      </c>
      <c r="B50" s="359" t="s">
        <v>132</v>
      </c>
      <c r="C50">
        <v>3544</v>
      </c>
      <c r="D50" t="s">
        <v>845</v>
      </c>
      <c r="E50" s="353">
        <v>9945</v>
      </c>
      <c r="F50" s="354">
        <v>0</v>
      </c>
      <c r="G50" s="355">
        <v>0</v>
      </c>
      <c r="H50" s="356">
        <v>0</v>
      </c>
      <c r="I50" s="353">
        <v>10290</v>
      </c>
      <c r="J50" s="354">
        <v>0</v>
      </c>
      <c r="K50" s="355">
        <v>0</v>
      </c>
      <c r="L50" s="356">
        <v>0</v>
      </c>
      <c r="M50" s="353">
        <v>8415</v>
      </c>
      <c r="N50" s="354">
        <v>0</v>
      </c>
      <c r="O50" s="355"/>
      <c r="P50" s="356"/>
      <c r="Q50" s="353">
        <v>28650</v>
      </c>
      <c r="R50" s="357">
        <v>0</v>
      </c>
      <c r="S50" s="355">
        <v>0</v>
      </c>
      <c r="T50" s="356">
        <v>0</v>
      </c>
      <c r="V50" s="358">
        <v>8775</v>
      </c>
      <c r="W50" s="355">
        <v>0</v>
      </c>
      <c r="X50" s="358">
        <v>9450</v>
      </c>
      <c r="Y50" s="355">
        <v>0</v>
      </c>
      <c r="Z50" s="358">
        <v>7425</v>
      </c>
      <c r="AA50" s="355"/>
      <c r="AB50" s="354">
        <v>25650</v>
      </c>
      <c r="AC50" s="355">
        <v>0</v>
      </c>
      <c r="AD50" s="358">
        <v>585</v>
      </c>
      <c r="AE50" s="355">
        <v>0</v>
      </c>
      <c r="AF50" s="358">
        <v>630</v>
      </c>
      <c r="AG50" s="355">
        <v>0</v>
      </c>
      <c r="AH50" s="358">
        <v>495</v>
      </c>
      <c r="AI50" s="355"/>
      <c r="AJ50" s="358">
        <v>1710</v>
      </c>
      <c r="AK50" s="356">
        <v>0</v>
      </c>
      <c r="AL50" s="358">
        <v>27360</v>
      </c>
      <c r="AM50" s="356">
        <v>0</v>
      </c>
      <c r="AO50" s="358">
        <v>420</v>
      </c>
      <c r="AP50" s="355">
        <v>0</v>
      </c>
      <c r="AQ50" s="358">
        <v>990</v>
      </c>
      <c r="AR50" s="355">
        <v>0</v>
      </c>
      <c r="AS50" s="358">
        <v>990</v>
      </c>
      <c r="AT50" s="355"/>
      <c r="AU50" s="358">
        <v>2400</v>
      </c>
      <c r="AV50" s="356">
        <v>0</v>
      </c>
    </row>
    <row r="51" spans="1:48" x14ac:dyDescent="0.25">
      <c r="A51" s="477">
        <v>146080</v>
      </c>
      <c r="B51" s="359" t="s">
        <v>637</v>
      </c>
      <c r="C51">
        <v>2022</v>
      </c>
      <c r="D51" t="s">
        <v>846</v>
      </c>
      <c r="E51" s="353">
        <v>11505</v>
      </c>
      <c r="F51" s="354">
        <v>2925</v>
      </c>
      <c r="G51" s="355">
        <v>0</v>
      </c>
      <c r="H51" s="356">
        <v>0</v>
      </c>
      <c r="I51" s="353">
        <v>6090</v>
      </c>
      <c r="J51" s="354">
        <v>2520</v>
      </c>
      <c r="K51" s="355">
        <v>0</v>
      </c>
      <c r="L51" s="356">
        <v>0</v>
      </c>
      <c r="M51" s="353">
        <v>9405</v>
      </c>
      <c r="N51" s="354">
        <v>2310</v>
      </c>
      <c r="O51" s="355"/>
      <c r="P51" s="356"/>
      <c r="Q51" s="353">
        <v>27000</v>
      </c>
      <c r="R51" s="357">
        <v>7755</v>
      </c>
      <c r="S51" s="355">
        <v>0</v>
      </c>
      <c r="T51" s="356">
        <v>0</v>
      </c>
      <c r="V51" s="358">
        <v>4485</v>
      </c>
      <c r="W51" s="355">
        <v>0</v>
      </c>
      <c r="X51" s="358">
        <v>3360</v>
      </c>
      <c r="Y51" s="355">
        <v>0</v>
      </c>
      <c r="Z51" s="358">
        <v>3465</v>
      </c>
      <c r="AA51" s="355"/>
      <c r="AB51" s="354">
        <v>11310</v>
      </c>
      <c r="AC51" s="355">
        <v>0</v>
      </c>
      <c r="AD51" s="358">
        <v>8775</v>
      </c>
      <c r="AE51" s="355">
        <v>0</v>
      </c>
      <c r="AF51" s="358">
        <v>4410</v>
      </c>
      <c r="AG51" s="355">
        <v>0</v>
      </c>
      <c r="AH51" s="358">
        <v>6600</v>
      </c>
      <c r="AI51" s="355"/>
      <c r="AJ51" s="358">
        <v>19785</v>
      </c>
      <c r="AK51" s="356">
        <v>0</v>
      </c>
      <c r="AL51" s="358">
        <v>31095</v>
      </c>
      <c r="AM51" s="356">
        <v>0</v>
      </c>
      <c r="AO51" s="358">
        <v>840</v>
      </c>
      <c r="AP51" s="355">
        <v>0</v>
      </c>
      <c r="AQ51" s="358">
        <v>2475</v>
      </c>
      <c r="AR51" s="355">
        <v>0</v>
      </c>
      <c r="AS51" s="358">
        <v>2475</v>
      </c>
      <c r="AT51" s="355"/>
      <c r="AU51" s="358">
        <v>5790</v>
      </c>
      <c r="AV51" s="356">
        <v>0</v>
      </c>
    </row>
    <row r="52" spans="1:48" x14ac:dyDescent="0.25">
      <c r="A52" s="477">
        <v>145855</v>
      </c>
      <c r="B52" s="359" t="s">
        <v>638</v>
      </c>
      <c r="C52">
        <v>2020</v>
      </c>
      <c r="D52" t="s">
        <v>847</v>
      </c>
      <c r="E52" s="353">
        <v>5928</v>
      </c>
      <c r="F52" s="354">
        <v>1911</v>
      </c>
      <c r="G52" s="355">
        <v>0</v>
      </c>
      <c r="H52" s="356">
        <v>0</v>
      </c>
      <c r="I52" s="353">
        <v>3150</v>
      </c>
      <c r="J52" s="354">
        <v>1596</v>
      </c>
      <c r="K52" s="355">
        <v>0</v>
      </c>
      <c r="L52" s="356">
        <v>0</v>
      </c>
      <c r="M52" s="353">
        <v>3465</v>
      </c>
      <c r="N52" s="354">
        <v>693</v>
      </c>
      <c r="O52" s="355"/>
      <c r="P52" s="356"/>
      <c r="Q52" s="353">
        <v>12543</v>
      </c>
      <c r="R52" s="357">
        <v>4200</v>
      </c>
      <c r="S52" s="355">
        <v>0</v>
      </c>
      <c r="T52" s="356">
        <v>0</v>
      </c>
      <c r="V52" s="358">
        <v>780</v>
      </c>
      <c r="W52" s="355">
        <v>0</v>
      </c>
      <c r="X52" s="358">
        <v>0</v>
      </c>
      <c r="Y52" s="355">
        <v>0</v>
      </c>
      <c r="Z52" s="358">
        <v>825</v>
      </c>
      <c r="AA52" s="355"/>
      <c r="AB52" s="354">
        <v>1605</v>
      </c>
      <c r="AC52" s="355">
        <v>0</v>
      </c>
      <c r="AD52" s="358">
        <v>4680</v>
      </c>
      <c r="AE52" s="355">
        <v>0</v>
      </c>
      <c r="AF52" s="358">
        <v>3906</v>
      </c>
      <c r="AG52" s="355">
        <v>0</v>
      </c>
      <c r="AH52" s="358">
        <v>2343</v>
      </c>
      <c r="AI52" s="355"/>
      <c r="AJ52" s="358">
        <v>10929</v>
      </c>
      <c r="AK52" s="356">
        <v>0</v>
      </c>
      <c r="AL52" s="358">
        <v>12534</v>
      </c>
      <c r="AM52" s="356">
        <v>0</v>
      </c>
      <c r="AO52" s="358">
        <v>0</v>
      </c>
      <c r="AP52" s="355">
        <v>0</v>
      </c>
      <c r="AQ52" s="358">
        <v>0</v>
      </c>
      <c r="AR52" s="355">
        <v>0</v>
      </c>
      <c r="AS52" s="358">
        <v>0</v>
      </c>
      <c r="AT52" s="355"/>
      <c r="AU52" s="358">
        <v>0</v>
      </c>
      <c r="AV52" s="356">
        <v>0</v>
      </c>
    </row>
    <row r="53" spans="1:48" x14ac:dyDescent="0.25">
      <c r="A53" s="477">
        <v>149747</v>
      </c>
      <c r="B53" s="359" t="s">
        <v>639</v>
      </c>
      <c r="C53">
        <v>2028</v>
      </c>
      <c r="D53" t="s">
        <v>848</v>
      </c>
      <c r="E53" s="353">
        <v>5993</v>
      </c>
      <c r="F53" s="354">
        <v>3334.5</v>
      </c>
      <c r="G53" s="355">
        <v>0</v>
      </c>
      <c r="H53" s="356">
        <v>0</v>
      </c>
      <c r="I53" s="353">
        <v>5754</v>
      </c>
      <c r="J53" s="354">
        <v>3108</v>
      </c>
      <c r="K53" s="355">
        <v>0</v>
      </c>
      <c r="L53" s="356">
        <v>0</v>
      </c>
      <c r="M53" s="353">
        <v>4576</v>
      </c>
      <c r="N53" s="354">
        <v>2552</v>
      </c>
      <c r="O53" s="355"/>
      <c r="P53" s="356"/>
      <c r="Q53" s="353">
        <v>16323</v>
      </c>
      <c r="R53" s="357">
        <v>8994.5</v>
      </c>
      <c r="S53" s="355">
        <v>0</v>
      </c>
      <c r="T53" s="356">
        <v>0</v>
      </c>
      <c r="V53" s="358">
        <v>741</v>
      </c>
      <c r="W53" s="355">
        <v>0</v>
      </c>
      <c r="X53" s="358">
        <v>1939</v>
      </c>
      <c r="Y53" s="355">
        <v>0</v>
      </c>
      <c r="Z53" s="358">
        <v>638</v>
      </c>
      <c r="AA53" s="355"/>
      <c r="AB53" s="354">
        <v>3318</v>
      </c>
      <c r="AC53" s="355">
        <v>0</v>
      </c>
      <c r="AD53" s="358">
        <v>2015</v>
      </c>
      <c r="AE53" s="355">
        <v>0</v>
      </c>
      <c r="AF53" s="358">
        <v>1421</v>
      </c>
      <c r="AG53" s="355">
        <v>0</v>
      </c>
      <c r="AH53" s="358">
        <v>1210</v>
      </c>
      <c r="AI53" s="355"/>
      <c r="AJ53" s="358">
        <v>4646</v>
      </c>
      <c r="AK53" s="356">
        <v>0</v>
      </c>
      <c r="AL53" s="358">
        <v>7964</v>
      </c>
      <c r="AM53" s="356">
        <v>0</v>
      </c>
      <c r="AO53" s="358">
        <v>0</v>
      </c>
      <c r="AP53" s="355">
        <v>0</v>
      </c>
      <c r="AQ53" s="358">
        <v>1936</v>
      </c>
      <c r="AR53" s="355">
        <v>0</v>
      </c>
      <c r="AS53" s="358">
        <v>1936</v>
      </c>
      <c r="AT53" s="355"/>
      <c r="AU53" s="358">
        <v>3872</v>
      </c>
      <c r="AV53" s="356">
        <v>0</v>
      </c>
    </row>
    <row r="54" spans="1:48" x14ac:dyDescent="0.25">
      <c r="A54" s="477">
        <v>146253</v>
      </c>
      <c r="B54" s="359" t="s">
        <v>640</v>
      </c>
      <c r="C54">
        <v>3543</v>
      </c>
      <c r="D54" t="s">
        <v>849</v>
      </c>
      <c r="E54" s="353">
        <v>6006</v>
      </c>
      <c r="F54" s="354">
        <v>3315</v>
      </c>
      <c r="G54" s="355">
        <v>0</v>
      </c>
      <c r="H54" s="356">
        <v>0</v>
      </c>
      <c r="I54" s="353">
        <v>2688</v>
      </c>
      <c r="J54" s="354">
        <v>1470</v>
      </c>
      <c r="K54" s="355">
        <v>0</v>
      </c>
      <c r="L54" s="356">
        <v>0</v>
      </c>
      <c r="M54" s="353">
        <v>4950</v>
      </c>
      <c r="N54" s="354">
        <v>2607</v>
      </c>
      <c r="O54" s="355"/>
      <c r="P54" s="356"/>
      <c r="Q54" s="353">
        <v>13644</v>
      </c>
      <c r="R54" s="357">
        <v>7392</v>
      </c>
      <c r="S54" s="355">
        <v>0</v>
      </c>
      <c r="T54" s="356">
        <v>0</v>
      </c>
      <c r="V54" s="358">
        <v>1950</v>
      </c>
      <c r="W54" s="355">
        <v>0</v>
      </c>
      <c r="X54" s="358">
        <v>1050</v>
      </c>
      <c r="Y54" s="355">
        <v>0</v>
      </c>
      <c r="Z54" s="358">
        <v>1650</v>
      </c>
      <c r="AA54" s="355"/>
      <c r="AB54" s="354">
        <v>4650</v>
      </c>
      <c r="AC54" s="355">
        <v>0</v>
      </c>
      <c r="AD54" s="358">
        <v>4446</v>
      </c>
      <c r="AE54" s="355">
        <v>0</v>
      </c>
      <c r="AF54" s="358">
        <v>1050</v>
      </c>
      <c r="AG54" s="355">
        <v>0</v>
      </c>
      <c r="AH54" s="358">
        <v>3597</v>
      </c>
      <c r="AI54" s="355"/>
      <c r="AJ54" s="358">
        <v>9093</v>
      </c>
      <c r="AK54" s="356">
        <v>0</v>
      </c>
      <c r="AL54" s="358">
        <v>13743</v>
      </c>
      <c r="AM54" s="356">
        <v>0</v>
      </c>
      <c r="AO54" s="358">
        <v>630</v>
      </c>
      <c r="AP54" s="355">
        <v>0</v>
      </c>
      <c r="AQ54" s="358">
        <v>2970</v>
      </c>
      <c r="AR54" s="355">
        <v>0</v>
      </c>
      <c r="AS54" s="358">
        <v>2970</v>
      </c>
      <c r="AT54" s="355"/>
      <c r="AU54" s="358">
        <v>6570</v>
      </c>
      <c r="AV54" s="356">
        <v>0</v>
      </c>
    </row>
    <row r="55" spans="1:48" x14ac:dyDescent="0.25">
      <c r="A55" s="477">
        <v>146575</v>
      </c>
      <c r="B55" s="359" t="s">
        <v>641</v>
      </c>
      <c r="C55">
        <v>3158</v>
      </c>
      <c r="D55" t="s">
        <v>850</v>
      </c>
      <c r="E55" s="353">
        <v>8190</v>
      </c>
      <c r="F55" s="354">
        <v>195</v>
      </c>
      <c r="G55" s="355">
        <v>0</v>
      </c>
      <c r="H55" s="356">
        <v>0</v>
      </c>
      <c r="I55" s="353">
        <v>4200</v>
      </c>
      <c r="J55" s="354">
        <v>630</v>
      </c>
      <c r="K55" s="355">
        <v>0</v>
      </c>
      <c r="L55" s="356">
        <v>0</v>
      </c>
      <c r="M55" s="353">
        <v>5775</v>
      </c>
      <c r="N55" s="354">
        <v>165</v>
      </c>
      <c r="O55" s="355"/>
      <c r="P55" s="356"/>
      <c r="Q55" s="353">
        <v>18165</v>
      </c>
      <c r="R55" s="357">
        <v>990</v>
      </c>
      <c r="S55" s="355">
        <v>0</v>
      </c>
      <c r="T55" s="356">
        <v>0</v>
      </c>
      <c r="V55" s="358">
        <v>5850</v>
      </c>
      <c r="W55" s="355">
        <v>0</v>
      </c>
      <c r="X55" s="358">
        <v>2100</v>
      </c>
      <c r="Y55" s="355">
        <v>0</v>
      </c>
      <c r="Z55" s="358">
        <v>4455</v>
      </c>
      <c r="AA55" s="355"/>
      <c r="AB55" s="354">
        <v>12405</v>
      </c>
      <c r="AC55" s="355">
        <v>0</v>
      </c>
      <c r="AD55" s="358">
        <v>2535</v>
      </c>
      <c r="AE55" s="355">
        <v>0</v>
      </c>
      <c r="AF55" s="358">
        <v>2520</v>
      </c>
      <c r="AG55" s="355">
        <v>0</v>
      </c>
      <c r="AH55" s="358">
        <v>1485</v>
      </c>
      <c r="AI55" s="355"/>
      <c r="AJ55" s="358">
        <v>6540</v>
      </c>
      <c r="AK55" s="356">
        <v>0</v>
      </c>
      <c r="AL55" s="358">
        <v>18945</v>
      </c>
      <c r="AM55" s="356">
        <v>0</v>
      </c>
      <c r="AO55" s="358">
        <v>2730</v>
      </c>
      <c r="AP55" s="355">
        <v>0</v>
      </c>
      <c r="AQ55" s="358">
        <v>165</v>
      </c>
      <c r="AR55" s="355">
        <v>0</v>
      </c>
      <c r="AS55" s="358">
        <v>165</v>
      </c>
      <c r="AT55" s="355"/>
      <c r="AU55" s="358">
        <v>3060</v>
      </c>
      <c r="AV55" s="356">
        <v>0</v>
      </c>
    </row>
    <row r="56" spans="1:48" x14ac:dyDescent="0.25">
      <c r="A56" s="477">
        <v>146140</v>
      </c>
      <c r="B56" s="359" t="s">
        <v>642</v>
      </c>
      <c r="C56">
        <v>3528</v>
      </c>
      <c r="D56" t="s">
        <v>851</v>
      </c>
      <c r="E56" s="353">
        <v>8307</v>
      </c>
      <c r="F56" s="354">
        <v>3120</v>
      </c>
      <c r="G56" s="355">
        <v>0</v>
      </c>
      <c r="H56" s="356">
        <v>0</v>
      </c>
      <c r="I56" s="353">
        <v>5586</v>
      </c>
      <c r="J56" s="354">
        <v>2100</v>
      </c>
      <c r="K56" s="355">
        <v>0</v>
      </c>
      <c r="L56" s="356">
        <v>0</v>
      </c>
      <c r="M56" s="353">
        <v>5808</v>
      </c>
      <c r="N56" s="354">
        <v>2475</v>
      </c>
      <c r="O56" s="355"/>
      <c r="P56" s="356"/>
      <c r="Q56" s="353">
        <v>19701</v>
      </c>
      <c r="R56" s="357">
        <v>7695</v>
      </c>
      <c r="S56" s="355">
        <v>0</v>
      </c>
      <c r="T56" s="356">
        <v>0</v>
      </c>
      <c r="V56" s="358">
        <v>1911</v>
      </c>
      <c r="W56" s="355">
        <v>0</v>
      </c>
      <c r="X56" s="358">
        <v>378</v>
      </c>
      <c r="Y56" s="355">
        <v>0</v>
      </c>
      <c r="Z56" s="358">
        <v>1782</v>
      </c>
      <c r="AA56" s="355"/>
      <c r="AB56" s="354">
        <v>4071</v>
      </c>
      <c r="AC56" s="355">
        <v>0</v>
      </c>
      <c r="AD56" s="358">
        <v>3978</v>
      </c>
      <c r="AE56" s="355">
        <v>0</v>
      </c>
      <c r="AF56" s="358">
        <v>3780</v>
      </c>
      <c r="AG56" s="355">
        <v>0</v>
      </c>
      <c r="AH56" s="358">
        <v>2277</v>
      </c>
      <c r="AI56" s="355"/>
      <c r="AJ56" s="358">
        <v>10035</v>
      </c>
      <c r="AK56" s="356">
        <v>0</v>
      </c>
      <c r="AL56" s="358">
        <v>14106</v>
      </c>
      <c r="AM56" s="356">
        <v>0</v>
      </c>
      <c r="AO56" s="358">
        <v>798</v>
      </c>
      <c r="AP56" s="355">
        <v>0</v>
      </c>
      <c r="AQ56" s="358">
        <v>2706</v>
      </c>
      <c r="AR56" s="355">
        <v>0</v>
      </c>
      <c r="AS56" s="358">
        <v>2706</v>
      </c>
      <c r="AT56" s="355"/>
      <c r="AU56" s="358">
        <v>6210</v>
      </c>
      <c r="AV56" s="356">
        <v>0</v>
      </c>
    </row>
    <row r="57" spans="1:48" x14ac:dyDescent="0.25">
      <c r="A57" s="477">
        <v>145760</v>
      </c>
      <c r="B57" s="359" t="s">
        <v>643</v>
      </c>
      <c r="C57">
        <v>3546</v>
      </c>
      <c r="D57" t="s">
        <v>852</v>
      </c>
      <c r="E57" s="353">
        <v>12480</v>
      </c>
      <c r="F57" s="354">
        <v>1755</v>
      </c>
      <c r="G57" s="355">
        <v>0</v>
      </c>
      <c r="H57" s="356">
        <v>0</v>
      </c>
      <c r="I57" s="353">
        <v>8820</v>
      </c>
      <c r="J57" s="354">
        <v>420</v>
      </c>
      <c r="K57" s="355">
        <v>0</v>
      </c>
      <c r="L57" s="356">
        <v>0</v>
      </c>
      <c r="M57" s="353">
        <v>9735</v>
      </c>
      <c r="N57" s="354">
        <v>1320</v>
      </c>
      <c r="O57" s="355"/>
      <c r="P57" s="356"/>
      <c r="Q57" s="353">
        <v>31035</v>
      </c>
      <c r="R57" s="357">
        <v>3495</v>
      </c>
      <c r="S57" s="355">
        <v>0</v>
      </c>
      <c r="T57" s="356">
        <v>0</v>
      </c>
      <c r="V57" s="358">
        <v>11115</v>
      </c>
      <c r="W57" s="355">
        <v>0</v>
      </c>
      <c r="X57" s="358">
        <v>6300</v>
      </c>
      <c r="Y57" s="355">
        <v>0</v>
      </c>
      <c r="Z57" s="358">
        <v>8580</v>
      </c>
      <c r="AA57" s="355"/>
      <c r="AB57" s="354">
        <v>25995</v>
      </c>
      <c r="AC57" s="355">
        <v>0</v>
      </c>
      <c r="AD57" s="358">
        <v>585</v>
      </c>
      <c r="AE57" s="355">
        <v>0</v>
      </c>
      <c r="AF57" s="358">
        <v>420</v>
      </c>
      <c r="AG57" s="355">
        <v>0</v>
      </c>
      <c r="AH57" s="358">
        <v>165</v>
      </c>
      <c r="AI57" s="355"/>
      <c r="AJ57" s="358">
        <v>1170</v>
      </c>
      <c r="AK57" s="356">
        <v>0</v>
      </c>
      <c r="AL57" s="358">
        <v>27165</v>
      </c>
      <c r="AM57" s="356">
        <v>0</v>
      </c>
      <c r="AO57" s="358">
        <v>6300</v>
      </c>
      <c r="AP57" s="355">
        <v>0</v>
      </c>
      <c r="AQ57" s="358">
        <v>6105</v>
      </c>
      <c r="AR57" s="355">
        <v>0</v>
      </c>
      <c r="AS57" s="358">
        <v>6105</v>
      </c>
      <c r="AT57" s="355"/>
      <c r="AU57" s="358">
        <v>18510</v>
      </c>
      <c r="AV57" s="356">
        <v>0</v>
      </c>
    </row>
    <row r="58" spans="1:48" x14ac:dyDescent="0.25">
      <c r="A58" s="477">
        <v>142752</v>
      </c>
      <c r="B58" s="359" t="s">
        <v>644</v>
      </c>
      <c r="C58">
        <v>3530</v>
      </c>
      <c r="D58" t="s">
        <v>853</v>
      </c>
      <c r="E58" s="353">
        <v>7020</v>
      </c>
      <c r="F58" s="354">
        <v>2379</v>
      </c>
      <c r="G58" s="355">
        <v>0</v>
      </c>
      <c r="H58" s="356">
        <v>0</v>
      </c>
      <c r="I58" s="353">
        <v>7161</v>
      </c>
      <c r="J58" s="354">
        <v>1974</v>
      </c>
      <c r="K58" s="355">
        <v>0</v>
      </c>
      <c r="L58" s="356">
        <v>0</v>
      </c>
      <c r="M58" s="353">
        <v>5775</v>
      </c>
      <c r="N58" s="354">
        <v>2343</v>
      </c>
      <c r="O58" s="355"/>
      <c r="P58" s="356"/>
      <c r="Q58" s="353">
        <v>19956</v>
      </c>
      <c r="R58" s="357">
        <v>6696</v>
      </c>
      <c r="S58" s="355">
        <v>0</v>
      </c>
      <c r="T58" s="356">
        <v>0</v>
      </c>
      <c r="V58" s="358">
        <v>780</v>
      </c>
      <c r="W58" s="355">
        <v>0</v>
      </c>
      <c r="X58" s="358">
        <v>483</v>
      </c>
      <c r="Y58" s="355">
        <v>0</v>
      </c>
      <c r="Z58" s="358">
        <v>825</v>
      </c>
      <c r="AA58" s="355"/>
      <c r="AB58" s="354">
        <v>2088</v>
      </c>
      <c r="AC58" s="355">
        <v>0</v>
      </c>
      <c r="AD58" s="358">
        <v>585</v>
      </c>
      <c r="AE58" s="355">
        <v>0</v>
      </c>
      <c r="AF58" s="358">
        <v>798</v>
      </c>
      <c r="AG58" s="355">
        <v>0</v>
      </c>
      <c r="AH58" s="358">
        <v>495</v>
      </c>
      <c r="AI58" s="355"/>
      <c r="AJ58" s="358">
        <v>1878</v>
      </c>
      <c r="AK58" s="356">
        <v>0</v>
      </c>
      <c r="AL58" s="358">
        <v>3966</v>
      </c>
      <c r="AM58" s="356">
        <v>0</v>
      </c>
      <c r="AO58" s="358">
        <v>0</v>
      </c>
      <c r="AP58" s="355">
        <v>0</v>
      </c>
      <c r="AQ58" s="358">
        <v>0</v>
      </c>
      <c r="AR58" s="355">
        <v>0</v>
      </c>
      <c r="AS58" s="358">
        <v>0</v>
      </c>
      <c r="AT58" s="355"/>
      <c r="AU58" s="358">
        <v>0</v>
      </c>
      <c r="AV58" s="356">
        <v>0</v>
      </c>
    </row>
    <row r="59" spans="1:48" x14ac:dyDescent="0.25">
      <c r="A59" s="477">
        <v>138443</v>
      </c>
      <c r="B59" s="359" t="s">
        <v>645</v>
      </c>
      <c r="C59">
        <v>2007</v>
      </c>
      <c r="D59" t="s">
        <v>854</v>
      </c>
      <c r="E59" s="353">
        <v>7605</v>
      </c>
      <c r="F59" s="354">
        <v>1521</v>
      </c>
      <c r="G59" s="355">
        <v>0</v>
      </c>
      <c r="H59" s="356">
        <v>0</v>
      </c>
      <c r="I59" s="353">
        <v>7140</v>
      </c>
      <c r="J59" s="354">
        <v>1890</v>
      </c>
      <c r="K59" s="355">
        <v>0</v>
      </c>
      <c r="L59" s="356">
        <v>0</v>
      </c>
      <c r="M59" s="353">
        <v>5940</v>
      </c>
      <c r="N59" s="354">
        <v>792</v>
      </c>
      <c r="O59" s="355"/>
      <c r="P59" s="356"/>
      <c r="Q59" s="353">
        <v>20685</v>
      </c>
      <c r="R59" s="357">
        <v>4203</v>
      </c>
      <c r="S59" s="355">
        <v>0</v>
      </c>
      <c r="T59" s="356">
        <v>0</v>
      </c>
      <c r="V59" s="358">
        <v>4992</v>
      </c>
      <c r="W59" s="355">
        <v>0</v>
      </c>
      <c r="X59" s="358">
        <v>4830</v>
      </c>
      <c r="Y59" s="355">
        <v>0</v>
      </c>
      <c r="Z59" s="358">
        <v>3564</v>
      </c>
      <c r="AA59" s="355"/>
      <c r="AB59" s="354">
        <v>13386</v>
      </c>
      <c r="AC59" s="355">
        <v>0</v>
      </c>
      <c r="AD59" s="358">
        <v>1170</v>
      </c>
      <c r="AE59" s="355">
        <v>0</v>
      </c>
      <c r="AF59" s="358">
        <v>1680</v>
      </c>
      <c r="AG59" s="355">
        <v>0</v>
      </c>
      <c r="AH59" s="358">
        <v>990</v>
      </c>
      <c r="AI59" s="355"/>
      <c r="AJ59" s="358">
        <v>3840</v>
      </c>
      <c r="AK59" s="356">
        <v>0</v>
      </c>
      <c r="AL59" s="358">
        <v>17226</v>
      </c>
      <c r="AM59" s="356">
        <v>0</v>
      </c>
      <c r="AO59" s="358">
        <v>630</v>
      </c>
      <c r="AP59" s="355">
        <v>0</v>
      </c>
      <c r="AQ59" s="358">
        <v>330</v>
      </c>
      <c r="AR59" s="355">
        <v>0</v>
      </c>
      <c r="AS59" s="358">
        <v>330</v>
      </c>
      <c r="AT59" s="355"/>
      <c r="AU59" s="358">
        <v>1290</v>
      </c>
      <c r="AV59" s="356">
        <v>0</v>
      </c>
    </row>
    <row r="60" spans="1:48" x14ac:dyDescent="0.25">
      <c r="A60" s="477">
        <v>138776</v>
      </c>
      <c r="B60" s="359" t="s">
        <v>855</v>
      </c>
      <c r="C60">
        <v>4000</v>
      </c>
      <c r="D60" s="672">
        <v>138776</v>
      </c>
      <c r="E60" s="353">
        <v>0</v>
      </c>
      <c r="F60" s="354">
        <v>0</v>
      </c>
      <c r="G60" s="355">
        <v>0</v>
      </c>
      <c r="H60" s="356">
        <v>0</v>
      </c>
      <c r="I60" s="353">
        <v>0</v>
      </c>
      <c r="J60" s="354">
        <v>0</v>
      </c>
      <c r="K60" s="355">
        <v>0</v>
      </c>
      <c r="L60" s="356">
        <v>0</v>
      </c>
      <c r="M60" s="353">
        <v>0</v>
      </c>
      <c r="N60" s="354">
        <v>0</v>
      </c>
      <c r="O60" s="355"/>
      <c r="P60" s="356"/>
      <c r="Q60" s="353">
        <v>0</v>
      </c>
      <c r="R60" s="357">
        <v>0</v>
      </c>
      <c r="S60" s="355">
        <v>0</v>
      </c>
      <c r="T60" s="356">
        <v>0</v>
      </c>
      <c r="V60" s="358">
        <v>0</v>
      </c>
      <c r="W60" s="355">
        <v>0</v>
      </c>
      <c r="X60" s="358">
        <v>0</v>
      </c>
      <c r="Y60" s="355">
        <v>0</v>
      </c>
      <c r="Z60" s="358">
        <v>0</v>
      </c>
      <c r="AA60" s="355"/>
      <c r="AB60" s="354">
        <v>0</v>
      </c>
      <c r="AC60" s="355">
        <v>0</v>
      </c>
      <c r="AD60" s="358">
        <v>0</v>
      </c>
      <c r="AE60" s="355">
        <v>0</v>
      </c>
      <c r="AF60" s="358">
        <v>0</v>
      </c>
      <c r="AG60" s="355">
        <v>0</v>
      </c>
      <c r="AH60" s="358">
        <v>0</v>
      </c>
      <c r="AI60" s="355"/>
      <c r="AJ60" s="358">
        <v>0</v>
      </c>
      <c r="AK60" s="356">
        <v>0</v>
      </c>
      <c r="AL60" s="358">
        <v>0</v>
      </c>
      <c r="AM60" s="356">
        <v>0</v>
      </c>
      <c r="AO60" s="358">
        <v>0</v>
      </c>
      <c r="AP60" s="355">
        <v>0</v>
      </c>
      <c r="AQ60" s="358">
        <v>0</v>
      </c>
      <c r="AR60" s="355">
        <v>0</v>
      </c>
      <c r="AS60" s="358">
        <v>0</v>
      </c>
      <c r="AT60" s="355"/>
      <c r="AU60" s="358">
        <v>0</v>
      </c>
      <c r="AV60" s="356">
        <v>0</v>
      </c>
    </row>
    <row r="61" spans="1:48" ht="15" thickBot="1" x14ac:dyDescent="0.4">
      <c r="A61" s="436"/>
      <c r="B61" s="342" t="s">
        <v>856</v>
      </c>
      <c r="C61" s="343" t="s">
        <v>60</v>
      </c>
      <c r="D61" s="343"/>
      <c r="E61" s="360">
        <f>SUM(E62:E215)</f>
        <v>451461.51802631578</v>
      </c>
      <c r="F61" s="361">
        <f t="shared" ref="F61:AV61" si="0">SUM(F62:F215)</f>
        <v>223564.45184210525</v>
      </c>
      <c r="G61" s="362">
        <f t="shared" si="0"/>
        <v>0</v>
      </c>
      <c r="H61" s="363">
        <f t="shared" si="0"/>
        <v>0</v>
      </c>
      <c r="I61" s="360">
        <f t="shared" si="0"/>
        <v>294139.34863157891</v>
      </c>
      <c r="J61" s="361">
        <f t="shared" si="0"/>
        <v>151868.2052631579</v>
      </c>
      <c r="K61" s="362">
        <f t="shared" si="0"/>
        <v>0</v>
      </c>
      <c r="L61" s="363">
        <f t="shared" si="0"/>
        <v>0</v>
      </c>
      <c r="M61" s="360">
        <f t="shared" si="0"/>
        <v>322213.24068421056</v>
      </c>
      <c r="N61" s="361">
        <f t="shared" si="0"/>
        <v>158847.42731578945</v>
      </c>
      <c r="O61" s="362">
        <f t="shared" si="0"/>
        <v>0</v>
      </c>
      <c r="P61" s="363">
        <f t="shared" si="0"/>
        <v>0</v>
      </c>
      <c r="Q61" s="360">
        <f t="shared" si="0"/>
        <v>1067814.1073421051</v>
      </c>
      <c r="R61" s="364">
        <f t="shared" si="0"/>
        <v>534280.0844210526</v>
      </c>
      <c r="S61" s="362">
        <f t="shared" si="0"/>
        <v>0</v>
      </c>
      <c r="T61" s="363">
        <f t="shared" si="0"/>
        <v>0</v>
      </c>
      <c r="U61" s="343">
        <f t="shared" si="0"/>
        <v>0</v>
      </c>
      <c r="V61" s="365">
        <f t="shared" si="0"/>
        <v>141489.12973684212</v>
      </c>
      <c r="W61" s="362">
        <f t="shared" si="0"/>
        <v>0</v>
      </c>
      <c r="X61" s="365">
        <f t="shared" si="0"/>
        <v>85073.192105263166</v>
      </c>
      <c r="Y61" s="362">
        <f t="shared" si="0"/>
        <v>0</v>
      </c>
      <c r="Z61" s="365">
        <f t="shared" si="0"/>
        <v>98907.756894736842</v>
      </c>
      <c r="AA61" s="362">
        <f t="shared" si="0"/>
        <v>0</v>
      </c>
      <c r="AB61" s="361">
        <f t="shared" si="0"/>
        <v>325470.07873684203</v>
      </c>
      <c r="AC61" s="362">
        <f t="shared" si="0"/>
        <v>0</v>
      </c>
      <c r="AD61" s="365">
        <f t="shared" si="0"/>
        <v>137507.53421052636</v>
      </c>
      <c r="AE61" s="362">
        <f t="shared" si="0"/>
        <v>0</v>
      </c>
      <c r="AF61" s="365">
        <f t="shared" si="0"/>
        <v>94977.927578947347</v>
      </c>
      <c r="AG61" s="362">
        <f t="shared" si="0"/>
        <v>0</v>
      </c>
      <c r="AH61" s="365">
        <f t="shared" si="0"/>
        <v>101717.95236842107</v>
      </c>
      <c r="AI61" s="362">
        <f t="shared" si="0"/>
        <v>0</v>
      </c>
      <c r="AJ61" s="365">
        <f t="shared" si="0"/>
        <v>334203.41415789473</v>
      </c>
      <c r="AK61" s="363">
        <f t="shared" si="0"/>
        <v>0</v>
      </c>
      <c r="AL61" s="365">
        <f t="shared" si="0"/>
        <v>659673.49289473682</v>
      </c>
      <c r="AM61" s="363">
        <f t="shared" si="0"/>
        <v>0</v>
      </c>
      <c r="AN61" s="343">
        <f t="shared" si="0"/>
        <v>0</v>
      </c>
      <c r="AO61" s="365">
        <f t="shared" si="0"/>
        <v>35894.607368421057</v>
      </c>
      <c r="AP61" s="362">
        <f t="shared" si="0"/>
        <v>0</v>
      </c>
      <c r="AQ61" s="365">
        <f t="shared" si="0"/>
        <v>57698.29131578948</v>
      </c>
      <c r="AR61" s="362">
        <f t="shared" si="0"/>
        <v>0</v>
      </c>
      <c r="AS61" s="365">
        <f t="shared" si="0"/>
        <v>57698.29131578948</v>
      </c>
      <c r="AT61" s="362">
        <f t="shared" si="0"/>
        <v>0</v>
      </c>
      <c r="AU61" s="365">
        <f t="shared" si="0"/>
        <v>151291.18999999997</v>
      </c>
      <c r="AV61" s="363">
        <f t="shared" si="0"/>
        <v>0</v>
      </c>
    </row>
    <row r="62" spans="1:48" ht="13" thickTop="1" x14ac:dyDescent="0.25">
      <c r="B62" s="359" t="s">
        <v>328</v>
      </c>
      <c r="C62">
        <v>206189</v>
      </c>
      <c r="D62" t="s">
        <v>857</v>
      </c>
      <c r="E62" s="353">
        <v>5460</v>
      </c>
      <c r="F62" s="354">
        <v>2860</v>
      </c>
      <c r="G62" s="355">
        <v>0</v>
      </c>
      <c r="H62" s="356">
        <v>0</v>
      </c>
      <c r="I62" s="353">
        <v>3150</v>
      </c>
      <c r="J62" s="354">
        <v>1960</v>
      </c>
      <c r="K62" s="355">
        <v>0</v>
      </c>
      <c r="L62" s="356">
        <v>0</v>
      </c>
      <c r="M62" s="353">
        <v>3795</v>
      </c>
      <c r="N62" s="354">
        <v>1705</v>
      </c>
      <c r="O62" s="355"/>
      <c r="P62" s="356"/>
      <c r="Q62" s="353">
        <v>12405</v>
      </c>
      <c r="R62" s="357">
        <v>6525</v>
      </c>
      <c r="S62" s="355">
        <v>0</v>
      </c>
      <c r="T62" s="356">
        <v>0</v>
      </c>
      <c r="V62" s="358">
        <v>3120</v>
      </c>
      <c r="W62" s="355">
        <v>0</v>
      </c>
      <c r="X62" s="358">
        <v>2100</v>
      </c>
      <c r="Y62" s="355">
        <v>0</v>
      </c>
      <c r="Z62" s="358">
        <v>2310</v>
      </c>
      <c r="AA62" s="355"/>
      <c r="AB62" s="354">
        <v>7530</v>
      </c>
      <c r="AC62" s="355">
        <v>0</v>
      </c>
      <c r="AD62" s="358">
        <v>1430</v>
      </c>
      <c r="AE62" s="355">
        <v>0</v>
      </c>
      <c r="AF62" s="358">
        <v>700</v>
      </c>
      <c r="AG62" s="355">
        <v>0</v>
      </c>
      <c r="AH62" s="358">
        <v>495</v>
      </c>
      <c r="AI62" s="355"/>
      <c r="AJ62" s="358">
        <v>2625</v>
      </c>
      <c r="AK62" s="356">
        <v>0</v>
      </c>
      <c r="AL62" s="358">
        <v>10155</v>
      </c>
      <c r="AM62" s="356">
        <v>0</v>
      </c>
      <c r="AO62" s="358">
        <v>630</v>
      </c>
      <c r="AP62" s="355">
        <v>0</v>
      </c>
      <c r="AQ62" s="358">
        <v>2200</v>
      </c>
      <c r="AR62" s="355">
        <v>0</v>
      </c>
      <c r="AS62" s="358">
        <v>2200</v>
      </c>
      <c r="AT62" s="355"/>
      <c r="AU62" s="358">
        <v>5030</v>
      </c>
      <c r="AV62" s="356">
        <v>0</v>
      </c>
    </row>
    <row r="63" spans="1:48" x14ac:dyDescent="0.25">
      <c r="B63" s="359" t="s">
        <v>329</v>
      </c>
      <c r="C63" t="s">
        <v>649</v>
      </c>
      <c r="D63" t="s">
        <v>858</v>
      </c>
      <c r="E63" s="353">
        <v>6825</v>
      </c>
      <c r="F63" s="354">
        <v>2730</v>
      </c>
      <c r="G63" s="355">
        <v>0</v>
      </c>
      <c r="H63" s="356">
        <v>0</v>
      </c>
      <c r="I63" s="353">
        <v>3360</v>
      </c>
      <c r="J63" s="354">
        <v>1260</v>
      </c>
      <c r="K63" s="355">
        <v>0</v>
      </c>
      <c r="L63" s="356">
        <v>0</v>
      </c>
      <c r="M63" s="353">
        <v>4785</v>
      </c>
      <c r="N63" s="354">
        <v>1815</v>
      </c>
      <c r="O63" s="355"/>
      <c r="P63" s="356"/>
      <c r="Q63" s="353">
        <v>14970</v>
      </c>
      <c r="R63" s="357">
        <v>5805</v>
      </c>
      <c r="S63" s="355">
        <v>0</v>
      </c>
      <c r="T63" s="356">
        <v>0</v>
      </c>
      <c r="V63" s="358">
        <v>3705</v>
      </c>
      <c r="W63" s="355">
        <v>0</v>
      </c>
      <c r="X63" s="358">
        <v>1050</v>
      </c>
      <c r="Y63" s="355">
        <v>0</v>
      </c>
      <c r="Z63" s="358">
        <v>2640</v>
      </c>
      <c r="AA63" s="355"/>
      <c r="AB63" s="354">
        <v>7395</v>
      </c>
      <c r="AC63" s="355">
        <v>0</v>
      </c>
      <c r="AD63" s="358">
        <v>2925</v>
      </c>
      <c r="AE63" s="355">
        <v>0</v>
      </c>
      <c r="AF63" s="358">
        <v>2100</v>
      </c>
      <c r="AG63" s="355">
        <v>0</v>
      </c>
      <c r="AH63" s="358">
        <v>1815</v>
      </c>
      <c r="AI63" s="355"/>
      <c r="AJ63" s="358">
        <v>6840</v>
      </c>
      <c r="AK63" s="356">
        <v>0</v>
      </c>
      <c r="AL63" s="358">
        <v>14235</v>
      </c>
      <c r="AM63" s="356">
        <v>0</v>
      </c>
      <c r="AO63" s="358">
        <v>0</v>
      </c>
      <c r="AP63" s="355">
        <v>0</v>
      </c>
      <c r="AQ63" s="358">
        <v>990</v>
      </c>
      <c r="AR63" s="355">
        <v>0</v>
      </c>
      <c r="AS63" s="358">
        <v>990</v>
      </c>
      <c r="AT63" s="355"/>
      <c r="AU63" s="358">
        <v>1980</v>
      </c>
      <c r="AV63" s="356">
        <v>0</v>
      </c>
    </row>
    <row r="64" spans="1:48" x14ac:dyDescent="0.25">
      <c r="B64" s="359" t="s">
        <v>165</v>
      </c>
      <c r="C64" t="s">
        <v>332</v>
      </c>
      <c r="D64" t="s">
        <v>859</v>
      </c>
      <c r="E64" s="353">
        <v>3783</v>
      </c>
      <c r="F64" s="354">
        <v>585</v>
      </c>
      <c r="G64" s="355">
        <v>0</v>
      </c>
      <c r="H64" s="356">
        <v>0</v>
      </c>
      <c r="I64" s="353">
        <v>3360</v>
      </c>
      <c r="J64" s="354">
        <v>630</v>
      </c>
      <c r="K64" s="355">
        <v>0</v>
      </c>
      <c r="L64" s="356">
        <v>0</v>
      </c>
      <c r="M64" s="353">
        <v>2277</v>
      </c>
      <c r="N64" s="354">
        <v>495</v>
      </c>
      <c r="O64" s="355"/>
      <c r="P64" s="356"/>
      <c r="Q64" s="353">
        <v>9420</v>
      </c>
      <c r="R64" s="357">
        <v>1710</v>
      </c>
      <c r="S64" s="355">
        <v>0</v>
      </c>
      <c r="T64" s="356">
        <v>0</v>
      </c>
      <c r="V64" s="358">
        <v>1755</v>
      </c>
      <c r="W64" s="355">
        <v>0</v>
      </c>
      <c r="X64" s="358">
        <v>1470</v>
      </c>
      <c r="Y64" s="355">
        <v>0</v>
      </c>
      <c r="Z64" s="358">
        <v>1155</v>
      </c>
      <c r="AA64" s="355"/>
      <c r="AB64" s="354">
        <v>4380</v>
      </c>
      <c r="AC64" s="355">
        <v>0</v>
      </c>
      <c r="AD64" s="358">
        <v>0</v>
      </c>
      <c r="AE64" s="355">
        <v>0</v>
      </c>
      <c r="AF64" s="358">
        <v>210</v>
      </c>
      <c r="AG64" s="355">
        <v>0</v>
      </c>
      <c r="AH64" s="358">
        <v>0</v>
      </c>
      <c r="AI64" s="355"/>
      <c r="AJ64" s="358">
        <v>210</v>
      </c>
      <c r="AK64" s="356">
        <v>0</v>
      </c>
      <c r="AL64" s="358">
        <v>4590</v>
      </c>
      <c r="AM64" s="356">
        <v>0</v>
      </c>
      <c r="AO64" s="358">
        <v>1890</v>
      </c>
      <c r="AP64" s="355">
        <v>0</v>
      </c>
      <c r="AQ64" s="358">
        <v>1287</v>
      </c>
      <c r="AR64" s="355">
        <v>0</v>
      </c>
      <c r="AS64" s="358">
        <v>1287</v>
      </c>
      <c r="AT64" s="355"/>
      <c r="AU64" s="358">
        <v>4464</v>
      </c>
      <c r="AV64" s="356">
        <v>0</v>
      </c>
    </row>
    <row r="65" spans="2:48" x14ac:dyDescent="0.25">
      <c r="B65" s="359" t="s">
        <v>334</v>
      </c>
      <c r="C65" t="s">
        <v>333</v>
      </c>
      <c r="D65" t="s">
        <v>860</v>
      </c>
      <c r="E65" s="353">
        <v>10332.290526315786</v>
      </c>
      <c r="F65" s="354">
        <v>4743.7239473684203</v>
      </c>
      <c r="G65" s="355">
        <v>0</v>
      </c>
      <c r="H65" s="356">
        <v>0</v>
      </c>
      <c r="I65" s="353">
        <v>7140</v>
      </c>
      <c r="J65" s="354">
        <v>3500</v>
      </c>
      <c r="K65" s="355">
        <v>0</v>
      </c>
      <c r="L65" s="356">
        <v>0</v>
      </c>
      <c r="M65" s="353">
        <v>7093.0894736842092</v>
      </c>
      <c r="N65" s="354">
        <v>3628.7581578947361</v>
      </c>
      <c r="O65" s="355"/>
      <c r="P65" s="356"/>
      <c r="Q65" s="353">
        <v>24565.379999999997</v>
      </c>
      <c r="R65" s="357">
        <v>11872.482105263156</v>
      </c>
      <c r="S65" s="355">
        <v>0</v>
      </c>
      <c r="T65" s="356">
        <v>0</v>
      </c>
      <c r="V65" s="358">
        <v>4093.8710526315795</v>
      </c>
      <c r="W65" s="355">
        <v>0</v>
      </c>
      <c r="X65" s="358">
        <v>1890</v>
      </c>
      <c r="Y65" s="355">
        <v>0</v>
      </c>
      <c r="Z65" s="358">
        <v>3463.8536842105259</v>
      </c>
      <c r="AA65" s="355"/>
      <c r="AB65" s="354">
        <v>9447.7247368421049</v>
      </c>
      <c r="AC65" s="355">
        <v>0</v>
      </c>
      <c r="AD65" s="358">
        <v>4354.1755263157893</v>
      </c>
      <c r="AE65" s="355">
        <v>0</v>
      </c>
      <c r="AF65" s="358">
        <v>3570</v>
      </c>
      <c r="AG65" s="355">
        <v>0</v>
      </c>
      <c r="AH65" s="358">
        <v>2804.140263157894</v>
      </c>
      <c r="AI65" s="355"/>
      <c r="AJ65" s="358">
        <v>10728.315789473683</v>
      </c>
      <c r="AK65" s="356">
        <v>0</v>
      </c>
      <c r="AL65" s="358">
        <v>20176.040526315788</v>
      </c>
      <c r="AM65" s="356">
        <v>0</v>
      </c>
      <c r="AO65" s="358">
        <v>1260</v>
      </c>
      <c r="AP65" s="355">
        <v>0</v>
      </c>
      <c r="AQ65" s="358">
        <v>2309.4268421052629</v>
      </c>
      <c r="AR65" s="355">
        <v>0</v>
      </c>
      <c r="AS65" s="358">
        <v>2309.4268421052629</v>
      </c>
      <c r="AT65" s="355"/>
      <c r="AU65" s="358">
        <v>5878.8536842105259</v>
      </c>
      <c r="AV65" s="356">
        <v>0</v>
      </c>
    </row>
    <row r="66" spans="2:48" x14ac:dyDescent="0.25">
      <c r="B66" s="359" t="s">
        <v>861</v>
      </c>
      <c r="C66" t="s">
        <v>862</v>
      </c>
      <c r="D66" t="s">
        <v>862</v>
      </c>
      <c r="E66" s="353">
        <v>6201</v>
      </c>
      <c r="F66" s="354">
        <v>2392</v>
      </c>
      <c r="G66" s="355">
        <v>0</v>
      </c>
      <c r="H66" s="356">
        <v>0</v>
      </c>
      <c r="I66" s="353">
        <v>3696</v>
      </c>
      <c r="J66" s="354">
        <v>1008</v>
      </c>
      <c r="K66" s="355">
        <v>0</v>
      </c>
      <c r="L66" s="356">
        <v>0</v>
      </c>
      <c r="M66" s="353">
        <v>4488</v>
      </c>
      <c r="N66" s="354">
        <v>1529</v>
      </c>
      <c r="O66" s="355"/>
      <c r="P66" s="356"/>
      <c r="Q66" s="353">
        <v>14385</v>
      </c>
      <c r="R66" s="357">
        <v>4929</v>
      </c>
      <c r="S66" s="355">
        <v>0</v>
      </c>
      <c r="T66" s="356">
        <v>0</v>
      </c>
      <c r="V66" s="358">
        <v>0</v>
      </c>
      <c r="W66" s="355">
        <v>0</v>
      </c>
      <c r="X66" s="358">
        <v>420</v>
      </c>
      <c r="Y66" s="355">
        <v>0</v>
      </c>
      <c r="Z66" s="358">
        <v>0</v>
      </c>
      <c r="AA66" s="355"/>
      <c r="AB66" s="354">
        <v>420</v>
      </c>
      <c r="AC66" s="355">
        <v>0</v>
      </c>
      <c r="AD66" s="358">
        <v>312</v>
      </c>
      <c r="AE66" s="355">
        <v>0</v>
      </c>
      <c r="AF66" s="358">
        <v>630</v>
      </c>
      <c r="AG66" s="355">
        <v>0</v>
      </c>
      <c r="AH66" s="358">
        <v>198</v>
      </c>
      <c r="AI66" s="355"/>
      <c r="AJ66" s="358">
        <v>1140</v>
      </c>
      <c r="AK66" s="356">
        <v>0</v>
      </c>
      <c r="AL66" s="358">
        <v>1560</v>
      </c>
      <c r="AM66" s="356">
        <v>0</v>
      </c>
      <c r="AO66" s="358">
        <v>210</v>
      </c>
      <c r="AP66" s="355">
        <v>0</v>
      </c>
      <c r="AQ66" s="358">
        <v>0</v>
      </c>
      <c r="AR66" s="355">
        <v>0</v>
      </c>
      <c r="AS66" s="358">
        <v>0</v>
      </c>
      <c r="AT66" s="355"/>
      <c r="AU66" s="358">
        <v>210</v>
      </c>
      <c r="AV66" s="356">
        <v>0</v>
      </c>
    </row>
    <row r="67" spans="2:48" x14ac:dyDescent="0.25">
      <c r="B67" s="359" t="s">
        <v>338</v>
      </c>
      <c r="C67">
        <v>206126</v>
      </c>
      <c r="D67" t="s">
        <v>863</v>
      </c>
      <c r="E67" s="353">
        <v>6201</v>
      </c>
      <c r="F67" s="354">
        <v>3438.5</v>
      </c>
      <c r="G67" s="355">
        <v>0</v>
      </c>
      <c r="H67" s="356">
        <v>0</v>
      </c>
      <c r="I67" s="353">
        <v>4312</v>
      </c>
      <c r="J67" s="354">
        <v>2562</v>
      </c>
      <c r="K67" s="355">
        <v>0</v>
      </c>
      <c r="L67" s="356">
        <v>0</v>
      </c>
      <c r="M67" s="353">
        <v>4719</v>
      </c>
      <c r="N67" s="354">
        <v>2343</v>
      </c>
      <c r="O67" s="355"/>
      <c r="P67" s="356"/>
      <c r="Q67" s="353">
        <v>15232</v>
      </c>
      <c r="R67" s="357">
        <v>8343.5</v>
      </c>
      <c r="S67" s="355">
        <v>0</v>
      </c>
      <c r="T67" s="356">
        <v>0</v>
      </c>
      <c r="V67" s="358">
        <v>195</v>
      </c>
      <c r="W67" s="355">
        <v>0</v>
      </c>
      <c r="X67" s="358">
        <v>0</v>
      </c>
      <c r="Y67" s="355">
        <v>0</v>
      </c>
      <c r="Z67" s="358">
        <v>165</v>
      </c>
      <c r="AA67" s="355"/>
      <c r="AB67" s="354">
        <v>360</v>
      </c>
      <c r="AC67" s="355">
        <v>0</v>
      </c>
      <c r="AD67" s="358">
        <v>468</v>
      </c>
      <c r="AE67" s="355">
        <v>0</v>
      </c>
      <c r="AF67" s="358">
        <v>1092</v>
      </c>
      <c r="AG67" s="355">
        <v>0</v>
      </c>
      <c r="AH67" s="358">
        <v>330</v>
      </c>
      <c r="AI67" s="355"/>
      <c r="AJ67" s="358">
        <v>1890</v>
      </c>
      <c r="AK67" s="356">
        <v>0</v>
      </c>
      <c r="AL67" s="358">
        <v>2250</v>
      </c>
      <c r="AM67" s="356">
        <v>0</v>
      </c>
      <c r="AO67" s="358">
        <v>0</v>
      </c>
      <c r="AP67" s="355">
        <v>0</v>
      </c>
      <c r="AQ67" s="358">
        <v>0</v>
      </c>
      <c r="AR67" s="355">
        <v>0</v>
      </c>
      <c r="AS67" s="358">
        <v>0</v>
      </c>
      <c r="AT67" s="355"/>
      <c r="AU67" s="358">
        <v>0</v>
      </c>
      <c r="AV67" s="356">
        <v>0</v>
      </c>
    </row>
    <row r="68" spans="2:48" x14ac:dyDescent="0.25">
      <c r="B68" s="359" t="s">
        <v>339</v>
      </c>
      <c r="C68">
        <v>206111</v>
      </c>
      <c r="D68" t="s">
        <v>864</v>
      </c>
      <c r="E68" s="353">
        <v>14155.631578947365</v>
      </c>
      <c r="F68" s="354">
        <v>10595</v>
      </c>
      <c r="G68" s="355">
        <v>0</v>
      </c>
      <c r="H68" s="356">
        <v>0</v>
      </c>
      <c r="I68" s="353">
        <v>8348.4210526315783</v>
      </c>
      <c r="J68" s="354">
        <v>6060.5263157894742</v>
      </c>
      <c r="K68" s="355">
        <v>0</v>
      </c>
      <c r="L68" s="356">
        <v>0</v>
      </c>
      <c r="M68" s="353">
        <v>10670</v>
      </c>
      <c r="N68" s="354">
        <v>7920</v>
      </c>
      <c r="O68" s="355"/>
      <c r="P68" s="356"/>
      <c r="Q68" s="353">
        <v>33174.052631578947</v>
      </c>
      <c r="R68" s="357">
        <v>24575.526315789473</v>
      </c>
      <c r="S68" s="355">
        <v>0</v>
      </c>
      <c r="T68" s="356">
        <v>0</v>
      </c>
      <c r="V68" s="358">
        <v>780</v>
      </c>
      <c r="W68" s="355">
        <v>0</v>
      </c>
      <c r="X68" s="358">
        <v>210</v>
      </c>
      <c r="Y68" s="355">
        <v>0</v>
      </c>
      <c r="Z68" s="358">
        <v>660</v>
      </c>
      <c r="AA68" s="355"/>
      <c r="AB68" s="354">
        <v>1650</v>
      </c>
      <c r="AC68" s="355">
        <v>0</v>
      </c>
      <c r="AD68" s="358">
        <v>910</v>
      </c>
      <c r="AE68" s="355">
        <v>0</v>
      </c>
      <c r="AF68" s="358">
        <v>1182.6315789473683</v>
      </c>
      <c r="AG68" s="355">
        <v>0</v>
      </c>
      <c r="AH68" s="358">
        <v>935</v>
      </c>
      <c r="AI68" s="355"/>
      <c r="AJ68" s="358">
        <v>3027.6315789473683</v>
      </c>
      <c r="AK68" s="356">
        <v>0</v>
      </c>
      <c r="AL68" s="358">
        <v>4677.6315789473683</v>
      </c>
      <c r="AM68" s="356">
        <v>0</v>
      </c>
      <c r="AO68" s="358">
        <v>0</v>
      </c>
      <c r="AP68" s="355">
        <v>0</v>
      </c>
      <c r="AQ68" s="358">
        <v>0</v>
      </c>
      <c r="AR68" s="355">
        <v>0</v>
      </c>
      <c r="AS68" s="358">
        <v>0</v>
      </c>
      <c r="AT68" s="355"/>
      <c r="AU68" s="358">
        <v>0</v>
      </c>
      <c r="AV68" s="356">
        <v>0</v>
      </c>
    </row>
    <row r="69" spans="2:48" x14ac:dyDescent="0.25">
      <c r="B69" s="359" t="s">
        <v>865</v>
      </c>
      <c r="C69" t="s">
        <v>866</v>
      </c>
      <c r="D69" t="s">
        <v>866</v>
      </c>
      <c r="E69" s="353">
        <v>7415.4736842105231</v>
      </c>
      <c r="F69" s="354">
        <v>5117.8947368421059</v>
      </c>
      <c r="G69" s="355">
        <v>0</v>
      </c>
      <c r="H69" s="356">
        <v>0</v>
      </c>
      <c r="I69" s="353">
        <v>5014.2105263157891</v>
      </c>
      <c r="J69" s="354">
        <v>3360</v>
      </c>
      <c r="K69" s="355">
        <v>0</v>
      </c>
      <c r="L69" s="356">
        <v>0</v>
      </c>
      <c r="M69" s="353">
        <v>5907</v>
      </c>
      <c r="N69" s="354">
        <v>3795</v>
      </c>
      <c r="O69" s="355"/>
      <c r="P69" s="356"/>
      <c r="Q69" s="353">
        <v>18336.684210526313</v>
      </c>
      <c r="R69" s="357">
        <v>12272.894736842107</v>
      </c>
      <c r="S69" s="355">
        <v>0</v>
      </c>
      <c r="T69" s="356">
        <v>0</v>
      </c>
      <c r="V69" s="358">
        <v>1081.0526315789473</v>
      </c>
      <c r="W69" s="355">
        <v>0</v>
      </c>
      <c r="X69" s="358">
        <v>1680</v>
      </c>
      <c r="Y69" s="355">
        <v>0</v>
      </c>
      <c r="Z69" s="358">
        <v>385</v>
      </c>
      <c r="AA69" s="355"/>
      <c r="AB69" s="354">
        <v>3146.0526315789475</v>
      </c>
      <c r="AC69" s="355">
        <v>0</v>
      </c>
      <c r="AD69" s="358">
        <v>1601.0526315789473</v>
      </c>
      <c r="AE69" s="355">
        <v>0</v>
      </c>
      <c r="AF69" s="358">
        <v>1260</v>
      </c>
      <c r="AG69" s="355">
        <v>0</v>
      </c>
      <c r="AH69" s="358">
        <v>1375</v>
      </c>
      <c r="AI69" s="355"/>
      <c r="AJ69" s="358">
        <v>4236.0526315789475</v>
      </c>
      <c r="AK69" s="356">
        <v>0</v>
      </c>
      <c r="AL69" s="358">
        <v>7382.105263157895</v>
      </c>
      <c r="AM69" s="356">
        <v>0</v>
      </c>
      <c r="AO69" s="358">
        <v>0</v>
      </c>
      <c r="AP69" s="355">
        <v>0</v>
      </c>
      <c r="AQ69" s="358">
        <v>0</v>
      </c>
      <c r="AR69" s="355">
        <v>0</v>
      </c>
      <c r="AS69" s="358">
        <v>0</v>
      </c>
      <c r="AT69" s="355"/>
      <c r="AU69" s="358">
        <v>0</v>
      </c>
      <c r="AV69" s="356">
        <v>0</v>
      </c>
    </row>
    <row r="70" spans="2:48" x14ac:dyDescent="0.25">
      <c r="B70" s="359" t="s">
        <v>340</v>
      </c>
      <c r="C70">
        <v>206091</v>
      </c>
      <c r="D70" t="s">
        <v>867</v>
      </c>
      <c r="E70" s="353">
        <v>6944.2578947368429</v>
      </c>
      <c r="F70" s="354">
        <v>3853.3368421052637</v>
      </c>
      <c r="G70" s="355">
        <v>0</v>
      </c>
      <c r="H70" s="356">
        <v>0</v>
      </c>
      <c r="I70" s="353">
        <v>6801.5684210526297</v>
      </c>
      <c r="J70" s="354">
        <v>4827.8115789473668</v>
      </c>
      <c r="K70" s="355">
        <v>0</v>
      </c>
      <c r="L70" s="356">
        <v>0</v>
      </c>
      <c r="M70" s="353">
        <v>5114.6757894736857</v>
      </c>
      <c r="N70" s="354">
        <v>2760.1431578947377</v>
      </c>
      <c r="O70" s="355"/>
      <c r="P70" s="356"/>
      <c r="Q70" s="353">
        <v>18860.502105263156</v>
      </c>
      <c r="R70" s="357">
        <v>11441.291578947368</v>
      </c>
      <c r="S70" s="355">
        <v>0</v>
      </c>
      <c r="T70" s="356">
        <v>0</v>
      </c>
      <c r="V70" s="358">
        <v>779.97263157894736</v>
      </c>
      <c r="W70" s="355">
        <v>0</v>
      </c>
      <c r="X70" s="358">
        <v>839.87842105263155</v>
      </c>
      <c r="Y70" s="355">
        <v>0</v>
      </c>
      <c r="Z70" s="358">
        <v>329.97684210526319</v>
      </c>
      <c r="AA70" s="355"/>
      <c r="AB70" s="354">
        <v>1949.8278947368422</v>
      </c>
      <c r="AC70" s="355">
        <v>0</v>
      </c>
      <c r="AD70" s="358">
        <v>1728.3294736842108</v>
      </c>
      <c r="AE70" s="355">
        <v>0</v>
      </c>
      <c r="AF70" s="358">
        <v>4071.9331578947358</v>
      </c>
      <c r="AG70" s="355">
        <v>0</v>
      </c>
      <c r="AH70" s="358">
        <v>1154.9536842105263</v>
      </c>
      <c r="AI70" s="355"/>
      <c r="AJ70" s="358">
        <v>6955.2163157894729</v>
      </c>
      <c r="AK70" s="356">
        <v>0</v>
      </c>
      <c r="AL70" s="358">
        <v>8905.0442105263155</v>
      </c>
      <c r="AM70" s="356">
        <v>0</v>
      </c>
      <c r="AO70" s="358">
        <v>0</v>
      </c>
      <c r="AP70" s="355">
        <v>0</v>
      </c>
      <c r="AQ70" s="358">
        <v>0</v>
      </c>
      <c r="AR70" s="355">
        <v>0</v>
      </c>
      <c r="AS70" s="358">
        <v>0</v>
      </c>
      <c r="AT70" s="355"/>
      <c r="AU70" s="358">
        <v>0</v>
      </c>
      <c r="AV70" s="356">
        <v>0</v>
      </c>
    </row>
    <row r="71" spans="2:48" x14ac:dyDescent="0.25">
      <c r="B71" s="359" t="s">
        <v>341</v>
      </c>
      <c r="C71">
        <v>206128</v>
      </c>
      <c r="D71" t="s">
        <v>868</v>
      </c>
      <c r="E71" s="353">
        <v>0</v>
      </c>
      <c r="F71" s="354">
        <v>0</v>
      </c>
      <c r="G71" s="355">
        <v>0</v>
      </c>
      <c r="H71" s="356">
        <v>0</v>
      </c>
      <c r="I71" s="353">
        <v>0</v>
      </c>
      <c r="J71" s="354">
        <v>0</v>
      </c>
      <c r="K71" s="355">
        <v>0</v>
      </c>
      <c r="L71" s="356">
        <v>0</v>
      </c>
      <c r="M71" s="353">
        <v>495</v>
      </c>
      <c r="N71" s="354">
        <v>0</v>
      </c>
      <c r="O71" s="355"/>
      <c r="P71" s="356"/>
      <c r="Q71" s="353">
        <v>495</v>
      </c>
      <c r="R71" s="357">
        <v>0</v>
      </c>
      <c r="S71" s="355">
        <v>0</v>
      </c>
      <c r="T71" s="356">
        <v>0</v>
      </c>
      <c r="V71" s="358">
        <v>0</v>
      </c>
      <c r="W71" s="355">
        <v>0</v>
      </c>
      <c r="X71" s="358">
        <v>0</v>
      </c>
      <c r="Y71" s="355">
        <v>0</v>
      </c>
      <c r="Z71" s="358">
        <v>495</v>
      </c>
      <c r="AA71" s="355"/>
      <c r="AB71" s="354">
        <v>495</v>
      </c>
      <c r="AC71" s="355">
        <v>0</v>
      </c>
      <c r="AD71" s="358">
        <v>0</v>
      </c>
      <c r="AE71" s="355">
        <v>0</v>
      </c>
      <c r="AF71" s="358">
        <v>0</v>
      </c>
      <c r="AG71" s="355">
        <v>0</v>
      </c>
      <c r="AH71" s="358">
        <v>0</v>
      </c>
      <c r="AI71" s="355"/>
      <c r="AJ71" s="358">
        <v>0</v>
      </c>
      <c r="AK71" s="356">
        <v>0</v>
      </c>
      <c r="AL71" s="358">
        <v>495</v>
      </c>
      <c r="AM71" s="356">
        <v>0</v>
      </c>
      <c r="AO71" s="358">
        <v>0</v>
      </c>
      <c r="AP71" s="355">
        <v>0</v>
      </c>
      <c r="AQ71" s="358">
        <v>0</v>
      </c>
      <c r="AR71" s="355">
        <v>0</v>
      </c>
      <c r="AS71" s="358">
        <v>0</v>
      </c>
      <c r="AT71" s="355"/>
      <c r="AU71" s="358">
        <v>0</v>
      </c>
      <c r="AV71" s="356">
        <v>0</v>
      </c>
    </row>
    <row r="72" spans="2:48" x14ac:dyDescent="0.25">
      <c r="B72" s="359" t="s">
        <v>342</v>
      </c>
      <c r="C72">
        <v>205999</v>
      </c>
      <c r="D72" t="s">
        <v>869</v>
      </c>
      <c r="E72" s="353">
        <v>975</v>
      </c>
      <c r="F72" s="354">
        <v>195</v>
      </c>
      <c r="G72" s="355">
        <v>0</v>
      </c>
      <c r="H72" s="356">
        <v>0</v>
      </c>
      <c r="I72" s="353">
        <v>1890</v>
      </c>
      <c r="J72" s="354">
        <v>420</v>
      </c>
      <c r="K72" s="355">
        <v>0</v>
      </c>
      <c r="L72" s="356">
        <v>0</v>
      </c>
      <c r="M72" s="353">
        <v>1485</v>
      </c>
      <c r="N72" s="354">
        <v>165</v>
      </c>
      <c r="O72" s="355"/>
      <c r="P72" s="356"/>
      <c r="Q72" s="353">
        <v>4350</v>
      </c>
      <c r="R72" s="357">
        <v>780</v>
      </c>
      <c r="S72" s="355">
        <v>0</v>
      </c>
      <c r="T72" s="356">
        <v>0</v>
      </c>
      <c r="V72" s="358">
        <v>195</v>
      </c>
      <c r="W72" s="355">
        <v>0</v>
      </c>
      <c r="X72" s="358">
        <v>420</v>
      </c>
      <c r="Y72" s="355">
        <v>0</v>
      </c>
      <c r="Z72" s="358">
        <v>495</v>
      </c>
      <c r="AA72" s="355"/>
      <c r="AB72" s="354">
        <v>1110</v>
      </c>
      <c r="AC72" s="355">
        <v>0</v>
      </c>
      <c r="AD72" s="358">
        <v>195</v>
      </c>
      <c r="AE72" s="355">
        <v>0</v>
      </c>
      <c r="AF72" s="358">
        <v>840</v>
      </c>
      <c r="AG72" s="355">
        <v>0</v>
      </c>
      <c r="AH72" s="358">
        <v>1155</v>
      </c>
      <c r="AI72" s="355"/>
      <c r="AJ72" s="358">
        <v>2190</v>
      </c>
      <c r="AK72" s="356">
        <v>0</v>
      </c>
      <c r="AL72" s="358">
        <v>3300</v>
      </c>
      <c r="AM72" s="356">
        <v>0</v>
      </c>
      <c r="AO72" s="358">
        <v>420</v>
      </c>
      <c r="AP72" s="355">
        <v>0</v>
      </c>
      <c r="AQ72" s="358">
        <v>165</v>
      </c>
      <c r="AR72" s="355">
        <v>0</v>
      </c>
      <c r="AS72" s="358">
        <v>165</v>
      </c>
      <c r="AT72" s="355"/>
      <c r="AU72" s="358">
        <v>750</v>
      </c>
      <c r="AV72" s="356">
        <v>0</v>
      </c>
    </row>
    <row r="73" spans="2:48" x14ac:dyDescent="0.25">
      <c r="B73" s="359" t="s">
        <v>344</v>
      </c>
      <c r="C73" t="s">
        <v>343</v>
      </c>
      <c r="D73" t="s">
        <v>870</v>
      </c>
      <c r="E73" s="353">
        <v>390</v>
      </c>
      <c r="F73" s="354">
        <v>390</v>
      </c>
      <c r="G73" s="355">
        <v>0</v>
      </c>
      <c r="H73" s="356">
        <v>0</v>
      </c>
      <c r="I73" s="353">
        <v>210</v>
      </c>
      <c r="J73" s="354">
        <v>210</v>
      </c>
      <c r="K73" s="355">
        <v>0</v>
      </c>
      <c r="L73" s="356">
        <v>0</v>
      </c>
      <c r="M73" s="353">
        <v>330</v>
      </c>
      <c r="N73" s="354">
        <v>330</v>
      </c>
      <c r="O73" s="355"/>
      <c r="P73" s="356"/>
      <c r="Q73" s="353">
        <v>930</v>
      </c>
      <c r="R73" s="357">
        <v>930</v>
      </c>
      <c r="S73" s="355">
        <v>0</v>
      </c>
      <c r="T73" s="356">
        <v>0</v>
      </c>
      <c r="V73" s="358">
        <v>0</v>
      </c>
      <c r="W73" s="355">
        <v>0</v>
      </c>
      <c r="X73" s="358">
        <v>0</v>
      </c>
      <c r="Y73" s="355">
        <v>0</v>
      </c>
      <c r="Z73" s="358">
        <v>0</v>
      </c>
      <c r="AA73" s="355"/>
      <c r="AB73" s="354">
        <v>0</v>
      </c>
      <c r="AC73" s="355">
        <v>0</v>
      </c>
      <c r="AD73" s="358">
        <v>780</v>
      </c>
      <c r="AE73" s="355">
        <v>0</v>
      </c>
      <c r="AF73" s="358">
        <v>420</v>
      </c>
      <c r="AG73" s="355">
        <v>0</v>
      </c>
      <c r="AH73" s="358">
        <v>660</v>
      </c>
      <c r="AI73" s="355"/>
      <c r="AJ73" s="358">
        <v>1860</v>
      </c>
      <c r="AK73" s="356">
        <v>0</v>
      </c>
      <c r="AL73" s="358">
        <v>1860</v>
      </c>
      <c r="AM73" s="356">
        <v>0</v>
      </c>
      <c r="AO73" s="358">
        <v>0</v>
      </c>
      <c r="AP73" s="355">
        <v>0</v>
      </c>
      <c r="AQ73" s="358">
        <v>0</v>
      </c>
      <c r="AR73" s="355">
        <v>0</v>
      </c>
      <c r="AS73" s="358">
        <v>0</v>
      </c>
      <c r="AT73" s="355"/>
      <c r="AU73" s="358">
        <v>0</v>
      </c>
      <c r="AV73" s="356">
        <v>0</v>
      </c>
    </row>
    <row r="74" spans="2:48" x14ac:dyDescent="0.25">
      <c r="B74" s="359" t="s">
        <v>346</v>
      </c>
      <c r="C74" t="s">
        <v>345</v>
      </c>
      <c r="D74" t="s">
        <v>871</v>
      </c>
      <c r="E74" s="353">
        <v>1170</v>
      </c>
      <c r="F74" s="354">
        <v>1170</v>
      </c>
      <c r="G74" s="355">
        <v>0</v>
      </c>
      <c r="H74" s="356">
        <v>0</v>
      </c>
      <c r="I74" s="353">
        <v>630</v>
      </c>
      <c r="J74" s="354">
        <v>546</v>
      </c>
      <c r="K74" s="355">
        <v>0</v>
      </c>
      <c r="L74" s="356">
        <v>0</v>
      </c>
      <c r="M74" s="353">
        <v>990</v>
      </c>
      <c r="N74" s="354">
        <v>924</v>
      </c>
      <c r="O74" s="355"/>
      <c r="P74" s="356"/>
      <c r="Q74" s="353">
        <v>2790</v>
      </c>
      <c r="R74" s="357">
        <v>2640</v>
      </c>
      <c r="S74" s="355">
        <v>0</v>
      </c>
      <c r="T74" s="356">
        <v>0</v>
      </c>
      <c r="V74" s="358">
        <v>0</v>
      </c>
      <c r="W74" s="355">
        <v>0</v>
      </c>
      <c r="X74" s="358">
        <v>0</v>
      </c>
      <c r="Y74" s="355">
        <v>0</v>
      </c>
      <c r="Z74" s="358">
        <v>0</v>
      </c>
      <c r="AA74" s="355"/>
      <c r="AB74" s="354">
        <v>0</v>
      </c>
      <c r="AC74" s="355">
        <v>0</v>
      </c>
      <c r="AD74" s="358">
        <v>390</v>
      </c>
      <c r="AE74" s="355">
        <v>0</v>
      </c>
      <c r="AF74" s="358">
        <v>420</v>
      </c>
      <c r="AG74" s="355">
        <v>0</v>
      </c>
      <c r="AH74" s="358">
        <v>330</v>
      </c>
      <c r="AI74" s="355"/>
      <c r="AJ74" s="358">
        <v>1140</v>
      </c>
      <c r="AK74" s="356">
        <v>0</v>
      </c>
      <c r="AL74" s="358">
        <v>1140</v>
      </c>
      <c r="AM74" s="356">
        <v>0</v>
      </c>
      <c r="AO74" s="358">
        <v>0</v>
      </c>
      <c r="AP74" s="355">
        <v>0</v>
      </c>
      <c r="AQ74" s="358">
        <v>0</v>
      </c>
      <c r="AR74" s="355">
        <v>0</v>
      </c>
      <c r="AS74" s="358">
        <v>0</v>
      </c>
      <c r="AT74" s="355"/>
      <c r="AU74" s="358">
        <v>0</v>
      </c>
      <c r="AV74" s="356">
        <v>0</v>
      </c>
    </row>
    <row r="75" spans="2:48" x14ac:dyDescent="0.25">
      <c r="B75" s="359" t="s">
        <v>347</v>
      </c>
      <c r="C75">
        <v>205921</v>
      </c>
      <c r="D75" t="s">
        <v>872</v>
      </c>
      <c r="E75" s="353">
        <v>780</v>
      </c>
      <c r="F75" s="354">
        <v>1170</v>
      </c>
      <c r="G75" s="355">
        <v>0</v>
      </c>
      <c r="H75" s="356">
        <v>0</v>
      </c>
      <c r="I75" s="353">
        <v>0</v>
      </c>
      <c r="J75" s="354">
        <v>0</v>
      </c>
      <c r="K75" s="355">
        <v>0</v>
      </c>
      <c r="L75" s="356">
        <v>0</v>
      </c>
      <c r="M75" s="353">
        <v>660</v>
      </c>
      <c r="N75" s="354">
        <v>990</v>
      </c>
      <c r="O75" s="355"/>
      <c r="P75" s="356"/>
      <c r="Q75" s="353">
        <v>1440</v>
      </c>
      <c r="R75" s="357">
        <v>2160</v>
      </c>
      <c r="S75" s="355">
        <v>0</v>
      </c>
      <c r="T75" s="356">
        <v>0</v>
      </c>
      <c r="V75" s="358">
        <v>195</v>
      </c>
      <c r="W75" s="355">
        <v>0</v>
      </c>
      <c r="X75" s="358">
        <v>0</v>
      </c>
      <c r="Y75" s="355">
        <v>0</v>
      </c>
      <c r="Z75" s="358">
        <v>165</v>
      </c>
      <c r="AA75" s="355"/>
      <c r="AB75" s="354">
        <v>360</v>
      </c>
      <c r="AC75" s="355">
        <v>0</v>
      </c>
      <c r="AD75" s="358">
        <v>585</v>
      </c>
      <c r="AE75" s="355">
        <v>0</v>
      </c>
      <c r="AF75" s="358">
        <v>0</v>
      </c>
      <c r="AG75" s="355">
        <v>0</v>
      </c>
      <c r="AH75" s="358">
        <v>495</v>
      </c>
      <c r="AI75" s="355"/>
      <c r="AJ75" s="358">
        <v>1080</v>
      </c>
      <c r="AK75" s="356">
        <v>0</v>
      </c>
      <c r="AL75" s="358">
        <v>1440</v>
      </c>
      <c r="AM75" s="356">
        <v>0</v>
      </c>
      <c r="AO75" s="358">
        <v>0</v>
      </c>
      <c r="AP75" s="355">
        <v>0</v>
      </c>
      <c r="AQ75" s="358">
        <v>0</v>
      </c>
      <c r="AR75" s="355">
        <v>0</v>
      </c>
      <c r="AS75" s="358">
        <v>0</v>
      </c>
      <c r="AT75" s="355"/>
      <c r="AU75" s="358">
        <v>0</v>
      </c>
      <c r="AV75" s="356">
        <v>0</v>
      </c>
    </row>
    <row r="76" spans="2:48" x14ac:dyDescent="0.25">
      <c r="B76" s="359" t="s">
        <v>348</v>
      </c>
      <c r="C76">
        <v>206011</v>
      </c>
      <c r="D76" t="s">
        <v>873</v>
      </c>
      <c r="E76" s="353">
        <v>390</v>
      </c>
      <c r="F76" s="354">
        <v>195</v>
      </c>
      <c r="G76" s="355">
        <v>0</v>
      </c>
      <c r="H76" s="356">
        <v>0</v>
      </c>
      <c r="I76" s="353">
        <v>210</v>
      </c>
      <c r="J76" s="354">
        <v>210</v>
      </c>
      <c r="K76" s="355">
        <v>0</v>
      </c>
      <c r="L76" s="356">
        <v>0</v>
      </c>
      <c r="M76" s="353">
        <v>495</v>
      </c>
      <c r="N76" s="354">
        <v>165</v>
      </c>
      <c r="O76" s="355"/>
      <c r="P76" s="356"/>
      <c r="Q76" s="353">
        <v>1095</v>
      </c>
      <c r="R76" s="357">
        <v>570</v>
      </c>
      <c r="S76" s="355">
        <v>0</v>
      </c>
      <c r="T76" s="356">
        <v>0</v>
      </c>
      <c r="V76" s="358">
        <v>0</v>
      </c>
      <c r="W76" s="355">
        <v>0</v>
      </c>
      <c r="X76" s="358">
        <v>0</v>
      </c>
      <c r="Y76" s="355">
        <v>0</v>
      </c>
      <c r="Z76" s="358">
        <v>0</v>
      </c>
      <c r="AA76" s="355"/>
      <c r="AB76" s="354">
        <v>0</v>
      </c>
      <c r="AC76" s="355">
        <v>0</v>
      </c>
      <c r="AD76" s="358">
        <v>390</v>
      </c>
      <c r="AE76" s="355">
        <v>0</v>
      </c>
      <c r="AF76" s="358">
        <v>420</v>
      </c>
      <c r="AG76" s="355">
        <v>0</v>
      </c>
      <c r="AH76" s="358">
        <v>330</v>
      </c>
      <c r="AI76" s="355"/>
      <c r="AJ76" s="358">
        <v>1140</v>
      </c>
      <c r="AK76" s="356">
        <v>0</v>
      </c>
      <c r="AL76" s="358">
        <v>1140</v>
      </c>
      <c r="AM76" s="356">
        <v>0</v>
      </c>
      <c r="AO76" s="358">
        <v>0</v>
      </c>
      <c r="AP76" s="355">
        <v>0</v>
      </c>
      <c r="AQ76" s="358">
        <v>0</v>
      </c>
      <c r="AR76" s="355">
        <v>0</v>
      </c>
      <c r="AS76" s="358">
        <v>0</v>
      </c>
      <c r="AT76" s="355"/>
      <c r="AU76" s="358">
        <v>0</v>
      </c>
      <c r="AV76" s="356">
        <v>0</v>
      </c>
    </row>
    <row r="77" spans="2:48" x14ac:dyDescent="0.25">
      <c r="B77" s="359" t="s">
        <v>349</v>
      </c>
      <c r="C77" t="s">
        <v>874</v>
      </c>
      <c r="D77" t="s">
        <v>874</v>
      </c>
      <c r="E77" s="353">
        <v>195</v>
      </c>
      <c r="F77" s="354">
        <v>195</v>
      </c>
      <c r="G77" s="355">
        <v>0</v>
      </c>
      <c r="H77" s="356">
        <v>0</v>
      </c>
      <c r="I77" s="353">
        <v>0</v>
      </c>
      <c r="J77" s="354">
        <v>0</v>
      </c>
      <c r="K77" s="355">
        <v>0</v>
      </c>
      <c r="L77" s="356">
        <v>0</v>
      </c>
      <c r="M77" s="353">
        <v>330</v>
      </c>
      <c r="N77" s="354">
        <v>0</v>
      </c>
      <c r="O77" s="355"/>
      <c r="P77" s="356"/>
      <c r="Q77" s="353">
        <v>525</v>
      </c>
      <c r="R77" s="357">
        <v>195</v>
      </c>
      <c r="S77" s="355">
        <v>0</v>
      </c>
      <c r="T77" s="356">
        <v>0</v>
      </c>
      <c r="V77" s="358">
        <v>195</v>
      </c>
      <c r="W77" s="355">
        <v>0</v>
      </c>
      <c r="X77" s="358">
        <v>0</v>
      </c>
      <c r="Y77" s="355">
        <v>0</v>
      </c>
      <c r="Z77" s="358">
        <v>165</v>
      </c>
      <c r="AA77" s="355"/>
      <c r="AB77" s="354">
        <v>360</v>
      </c>
      <c r="AC77" s="355">
        <v>0</v>
      </c>
      <c r="AD77" s="358">
        <v>0</v>
      </c>
      <c r="AE77" s="355">
        <v>0</v>
      </c>
      <c r="AF77" s="358">
        <v>0</v>
      </c>
      <c r="AG77" s="355">
        <v>0</v>
      </c>
      <c r="AH77" s="358">
        <v>0</v>
      </c>
      <c r="AI77" s="355"/>
      <c r="AJ77" s="358">
        <v>0</v>
      </c>
      <c r="AK77" s="356">
        <v>0</v>
      </c>
      <c r="AL77" s="358">
        <v>360</v>
      </c>
      <c r="AM77" s="356">
        <v>0</v>
      </c>
      <c r="AO77" s="358">
        <v>0</v>
      </c>
      <c r="AP77" s="355">
        <v>0</v>
      </c>
      <c r="AQ77" s="358">
        <v>165</v>
      </c>
      <c r="AR77" s="355">
        <v>0</v>
      </c>
      <c r="AS77" s="358">
        <v>165</v>
      </c>
      <c r="AT77" s="355"/>
      <c r="AU77" s="358">
        <v>330</v>
      </c>
      <c r="AV77" s="356">
        <v>0</v>
      </c>
    </row>
    <row r="78" spans="2:48" x14ac:dyDescent="0.25">
      <c r="B78" s="359" t="s">
        <v>353</v>
      </c>
      <c r="C78" t="s">
        <v>352</v>
      </c>
      <c r="D78" t="s">
        <v>875</v>
      </c>
      <c r="E78" s="353">
        <v>390</v>
      </c>
      <c r="F78" s="354">
        <v>195</v>
      </c>
      <c r="G78" s="355">
        <v>0</v>
      </c>
      <c r="H78" s="356">
        <v>0</v>
      </c>
      <c r="I78" s="353">
        <v>0</v>
      </c>
      <c r="J78" s="354">
        <v>0</v>
      </c>
      <c r="K78" s="355">
        <v>0</v>
      </c>
      <c r="L78" s="356">
        <v>0</v>
      </c>
      <c r="M78" s="353">
        <v>495</v>
      </c>
      <c r="N78" s="354">
        <v>330</v>
      </c>
      <c r="O78" s="355"/>
      <c r="P78" s="356"/>
      <c r="Q78" s="353">
        <v>885</v>
      </c>
      <c r="R78" s="357">
        <v>525</v>
      </c>
      <c r="S78" s="355">
        <v>0</v>
      </c>
      <c r="T78" s="356">
        <v>0</v>
      </c>
      <c r="V78" s="358">
        <v>390</v>
      </c>
      <c r="W78" s="355">
        <v>0</v>
      </c>
      <c r="X78" s="358">
        <v>0</v>
      </c>
      <c r="Y78" s="355">
        <v>0</v>
      </c>
      <c r="Z78" s="358">
        <v>660</v>
      </c>
      <c r="AA78" s="355"/>
      <c r="AB78" s="354">
        <v>1050</v>
      </c>
      <c r="AC78" s="355">
        <v>0</v>
      </c>
      <c r="AD78" s="358">
        <v>195</v>
      </c>
      <c r="AE78" s="355">
        <v>0</v>
      </c>
      <c r="AF78" s="358">
        <v>0</v>
      </c>
      <c r="AG78" s="355">
        <v>0</v>
      </c>
      <c r="AH78" s="358">
        <v>165</v>
      </c>
      <c r="AI78" s="355"/>
      <c r="AJ78" s="358">
        <v>360</v>
      </c>
      <c r="AK78" s="356">
        <v>0</v>
      </c>
      <c r="AL78" s="358">
        <v>1410</v>
      </c>
      <c r="AM78" s="356">
        <v>0</v>
      </c>
      <c r="AO78" s="358">
        <v>0</v>
      </c>
      <c r="AP78" s="355">
        <v>0</v>
      </c>
      <c r="AQ78" s="358">
        <v>0</v>
      </c>
      <c r="AR78" s="355">
        <v>0</v>
      </c>
      <c r="AS78" s="358">
        <v>0</v>
      </c>
      <c r="AT78" s="355"/>
      <c r="AU78" s="358">
        <v>0</v>
      </c>
      <c r="AV78" s="356">
        <v>0</v>
      </c>
    </row>
    <row r="79" spans="2:48" x14ac:dyDescent="0.25">
      <c r="B79" s="359" t="s">
        <v>355</v>
      </c>
      <c r="C79" t="s">
        <v>354</v>
      </c>
      <c r="D79" t="s">
        <v>876</v>
      </c>
      <c r="E79" s="353">
        <v>195</v>
      </c>
      <c r="F79" s="354">
        <v>195</v>
      </c>
      <c r="G79" s="355">
        <v>0</v>
      </c>
      <c r="H79" s="356">
        <v>0</v>
      </c>
      <c r="I79" s="353">
        <v>210</v>
      </c>
      <c r="J79" s="354">
        <v>0</v>
      </c>
      <c r="K79" s="355">
        <v>0</v>
      </c>
      <c r="L79" s="356">
        <v>0</v>
      </c>
      <c r="M79" s="353">
        <v>0</v>
      </c>
      <c r="N79" s="354">
        <v>165</v>
      </c>
      <c r="O79" s="355"/>
      <c r="P79" s="356"/>
      <c r="Q79" s="353">
        <v>405</v>
      </c>
      <c r="R79" s="357">
        <v>360</v>
      </c>
      <c r="S79" s="355">
        <v>0</v>
      </c>
      <c r="T79" s="356">
        <v>0</v>
      </c>
      <c r="V79" s="358">
        <v>195</v>
      </c>
      <c r="W79" s="355">
        <v>0</v>
      </c>
      <c r="X79" s="358">
        <v>0</v>
      </c>
      <c r="Y79" s="355">
        <v>0</v>
      </c>
      <c r="Z79" s="358">
        <v>165</v>
      </c>
      <c r="AA79" s="355"/>
      <c r="AB79" s="354">
        <v>360</v>
      </c>
      <c r="AC79" s="355">
        <v>0</v>
      </c>
      <c r="AD79" s="358">
        <v>0</v>
      </c>
      <c r="AE79" s="355">
        <v>0</v>
      </c>
      <c r="AF79" s="358">
        <v>0</v>
      </c>
      <c r="AG79" s="355">
        <v>0</v>
      </c>
      <c r="AH79" s="358">
        <v>0</v>
      </c>
      <c r="AI79" s="355"/>
      <c r="AJ79" s="358">
        <v>0</v>
      </c>
      <c r="AK79" s="356">
        <v>0</v>
      </c>
      <c r="AL79" s="358">
        <v>360</v>
      </c>
      <c r="AM79" s="356">
        <v>0</v>
      </c>
      <c r="AO79" s="358">
        <v>0</v>
      </c>
      <c r="AP79" s="355">
        <v>0</v>
      </c>
      <c r="AQ79" s="358">
        <v>0</v>
      </c>
      <c r="AR79" s="355">
        <v>0</v>
      </c>
      <c r="AS79" s="358">
        <v>0</v>
      </c>
      <c r="AT79" s="355"/>
      <c r="AU79" s="358">
        <v>0</v>
      </c>
      <c r="AV79" s="356">
        <v>0</v>
      </c>
    </row>
    <row r="80" spans="2:48" x14ac:dyDescent="0.25">
      <c r="B80" s="359" t="s">
        <v>357</v>
      </c>
      <c r="C80" t="s">
        <v>356</v>
      </c>
      <c r="D80" t="s">
        <v>877</v>
      </c>
      <c r="E80" s="353">
        <v>0</v>
      </c>
      <c r="F80" s="354">
        <v>0</v>
      </c>
      <c r="G80" s="355">
        <v>0</v>
      </c>
      <c r="H80" s="356">
        <v>0</v>
      </c>
      <c r="I80" s="353">
        <v>0</v>
      </c>
      <c r="J80" s="354">
        <v>0</v>
      </c>
      <c r="K80" s="355">
        <v>0</v>
      </c>
      <c r="L80" s="356">
        <v>0</v>
      </c>
      <c r="M80" s="353">
        <v>165</v>
      </c>
      <c r="N80" s="354">
        <v>0</v>
      </c>
      <c r="O80" s="355"/>
      <c r="P80" s="356"/>
      <c r="Q80" s="353">
        <v>165</v>
      </c>
      <c r="R80" s="357">
        <v>0</v>
      </c>
      <c r="S80" s="355">
        <v>0</v>
      </c>
      <c r="T80" s="356">
        <v>0</v>
      </c>
      <c r="V80" s="358">
        <v>0</v>
      </c>
      <c r="W80" s="355">
        <v>0</v>
      </c>
      <c r="X80" s="358">
        <v>0</v>
      </c>
      <c r="Y80" s="355">
        <v>0</v>
      </c>
      <c r="Z80" s="358">
        <v>0</v>
      </c>
      <c r="AA80" s="355"/>
      <c r="AB80" s="354">
        <v>0</v>
      </c>
      <c r="AC80" s="355">
        <v>0</v>
      </c>
      <c r="AD80" s="358">
        <v>0</v>
      </c>
      <c r="AE80" s="355">
        <v>0</v>
      </c>
      <c r="AF80" s="358">
        <v>0</v>
      </c>
      <c r="AG80" s="355">
        <v>0</v>
      </c>
      <c r="AH80" s="358">
        <v>165</v>
      </c>
      <c r="AI80" s="355"/>
      <c r="AJ80" s="358">
        <v>165</v>
      </c>
      <c r="AK80" s="356">
        <v>0</v>
      </c>
      <c r="AL80" s="358">
        <v>165</v>
      </c>
      <c r="AM80" s="356">
        <v>0</v>
      </c>
      <c r="AO80" s="358">
        <v>0</v>
      </c>
      <c r="AP80" s="355">
        <v>0</v>
      </c>
      <c r="AQ80" s="358">
        <v>0</v>
      </c>
      <c r="AR80" s="355">
        <v>0</v>
      </c>
      <c r="AS80" s="358">
        <v>0</v>
      </c>
      <c r="AT80" s="355"/>
      <c r="AU80" s="358">
        <v>0</v>
      </c>
      <c r="AV80" s="356">
        <v>0</v>
      </c>
    </row>
    <row r="81" spans="2:48" x14ac:dyDescent="0.25">
      <c r="B81" s="359" t="s">
        <v>358</v>
      </c>
      <c r="C81">
        <v>2549324</v>
      </c>
      <c r="D81" t="s">
        <v>878</v>
      </c>
      <c r="E81" s="353">
        <v>3120</v>
      </c>
      <c r="F81" s="354">
        <v>2639</v>
      </c>
      <c r="G81" s="355">
        <v>0</v>
      </c>
      <c r="H81" s="356">
        <v>0</v>
      </c>
      <c r="I81" s="353">
        <v>1050</v>
      </c>
      <c r="J81" s="354">
        <v>966</v>
      </c>
      <c r="K81" s="355">
        <v>0</v>
      </c>
      <c r="L81" s="356">
        <v>0</v>
      </c>
      <c r="M81" s="353">
        <v>2310</v>
      </c>
      <c r="N81" s="354">
        <v>1936</v>
      </c>
      <c r="O81" s="355"/>
      <c r="P81" s="356"/>
      <c r="Q81" s="353">
        <v>6480</v>
      </c>
      <c r="R81" s="357">
        <v>5541</v>
      </c>
      <c r="S81" s="355">
        <v>0</v>
      </c>
      <c r="T81" s="356">
        <v>0</v>
      </c>
      <c r="V81" s="358">
        <v>390</v>
      </c>
      <c r="W81" s="355">
        <v>0</v>
      </c>
      <c r="X81" s="358">
        <v>420</v>
      </c>
      <c r="Y81" s="355">
        <v>0</v>
      </c>
      <c r="Z81" s="358">
        <v>330</v>
      </c>
      <c r="AA81" s="355"/>
      <c r="AB81" s="354">
        <v>1140</v>
      </c>
      <c r="AC81" s="355">
        <v>0</v>
      </c>
      <c r="AD81" s="358">
        <v>1404</v>
      </c>
      <c r="AE81" s="355">
        <v>0</v>
      </c>
      <c r="AF81" s="358">
        <v>0</v>
      </c>
      <c r="AG81" s="355">
        <v>0</v>
      </c>
      <c r="AH81" s="358">
        <v>1177</v>
      </c>
      <c r="AI81" s="355"/>
      <c r="AJ81" s="358">
        <v>2581</v>
      </c>
      <c r="AK81" s="356">
        <v>0</v>
      </c>
      <c r="AL81" s="358">
        <v>3721</v>
      </c>
      <c r="AM81" s="356">
        <v>0</v>
      </c>
      <c r="AO81" s="358">
        <v>0</v>
      </c>
      <c r="AP81" s="355">
        <v>0</v>
      </c>
      <c r="AQ81" s="358">
        <v>0</v>
      </c>
      <c r="AR81" s="355">
        <v>0</v>
      </c>
      <c r="AS81" s="358">
        <v>0</v>
      </c>
      <c r="AT81" s="355"/>
      <c r="AU81" s="358">
        <v>0</v>
      </c>
      <c r="AV81" s="356">
        <v>0</v>
      </c>
    </row>
    <row r="82" spans="2:48" x14ac:dyDescent="0.25">
      <c r="B82" s="359" t="s">
        <v>879</v>
      </c>
      <c r="C82" t="s">
        <v>880</v>
      </c>
      <c r="D82" t="s">
        <v>880</v>
      </c>
      <c r="E82" s="353">
        <v>390</v>
      </c>
      <c r="F82" s="354">
        <v>104</v>
      </c>
      <c r="G82" s="355">
        <v>0</v>
      </c>
      <c r="H82" s="356">
        <v>0</v>
      </c>
      <c r="I82" s="353">
        <v>210</v>
      </c>
      <c r="J82" s="354">
        <v>70</v>
      </c>
      <c r="K82" s="355">
        <v>0</v>
      </c>
      <c r="L82" s="356">
        <v>0</v>
      </c>
      <c r="M82" s="353">
        <v>198</v>
      </c>
      <c r="N82" s="354">
        <v>220</v>
      </c>
      <c r="O82" s="355"/>
      <c r="P82" s="356"/>
      <c r="Q82" s="353">
        <v>798</v>
      </c>
      <c r="R82" s="357">
        <v>394</v>
      </c>
      <c r="S82" s="355">
        <v>0</v>
      </c>
      <c r="T82" s="356">
        <v>0</v>
      </c>
      <c r="V82" s="358">
        <v>0</v>
      </c>
      <c r="W82" s="355">
        <v>0</v>
      </c>
      <c r="X82" s="358">
        <v>0</v>
      </c>
      <c r="Y82" s="355">
        <v>0</v>
      </c>
      <c r="Z82" s="358">
        <v>0</v>
      </c>
      <c r="AA82" s="355"/>
      <c r="AB82" s="354">
        <v>0</v>
      </c>
      <c r="AC82" s="355">
        <v>0</v>
      </c>
      <c r="AD82" s="358">
        <v>0</v>
      </c>
      <c r="AE82" s="355">
        <v>0</v>
      </c>
      <c r="AF82" s="358">
        <v>0</v>
      </c>
      <c r="AG82" s="355">
        <v>0</v>
      </c>
      <c r="AH82" s="358">
        <v>0</v>
      </c>
      <c r="AI82" s="355"/>
      <c r="AJ82" s="358">
        <v>0</v>
      </c>
      <c r="AK82" s="356">
        <v>0</v>
      </c>
      <c r="AL82" s="358">
        <v>0</v>
      </c>
      <c r="AM82" s="356">
        <v>0</v>
      </c>
      <c r="AO82" s="358">
        <v>0</v>
      </c>
      <c r="AP82" s="355">
        <v>0</v>
      </c>
      <c r="AQ82" s="358">
        <v>0</v>
      </c>
      <c r="AR82" s="355">
        <v>0</v>
      </c>
      <c r="AS82" s="358">
        <v>0</v>
      </c>
      <c r="AT82" s="355"/>
      <c r="AU82" s="358">
        <v>0</v>
      </c>
      <c r="AV82" s="356">
        <v>0</v>
      </c>
    </row>
    <row r="83" spans="2:48" x14ac:dyDescent="0.25">
      <c r="B83" s="359" t="s">
        <v>361</v>
      </c>
      <c r="C83">
        <v>2519477</v>
      </c>
      <c r="D83" t="s">
        <v>881</v>
      </c>
      <c r="E83" s="353">
        <v>325</v>
      </c>
      <c r="F83" s="354">
        <v>26</v>
      </c>
      <c r="G83" s="355">
        <v>0</v>
      </c>
      <c r="H83" s="356">
        <v>0</v>
      </c>
      <c r="I83" s="353">
        <v>0</v>
      </c>
      <c r="J83" s="354">
        <v>0</v>
      </c>
      <c r="K83" s="355">
        <v>0</v>
      </c>
      <c r="L83" s="356">
        <v>0</v>
      </c>
      <c r="M83" s="353">
        <v>165</v>
      </c>
      <c r="N83" s="354">
        <v>132</v>
      </c>
      <c r="O83" s="355"/>
      <c r="P83" s="356"/>
      <c r="Q83" s="353">
        <v>490</v>
      </c>
      <c r="R83" s="357">
        <v>158</v>
      </c>
      <c r="S83" s="355">
        <v>0</v>
      </c>
      <c r="T83" s="356">
        <v>0</v>
      </c>
      <c r="V83" s="358">
        <v>0</v>
      </c>
      <c r="W83" s="355">
        <v>0</v>
      </c>
      <c r="X83" s="358">
        <v>0</v>
      </c>
      <c r="Y83" s="355">
        <v>0</v>
      </c>
      <c r="Z83" s="358">
        <v>0</v>
      </c>
      <c r="AA83" s="355"/>
      <c r="AB83" s="354">
        <v>0</v>
      </c>
      <c r="AC83" s="355">
        <v>0</v>
      </c>
      <c r="AD83" s="358">
        <v>221</v>
      </c>
      <c r="AE83" s="355">
        <v>0</v>
      </c>
      <c r="AF83" s="358">
        <v>0</v>
      </c>
      <c r="AG83" s="355">
        <v>0</v>
      </c>
      <c r="AH83" s="358">
        <v>187</v>
      </c>
      <c r="AI83" s="355"/>
      <c r="AJ83" s="358">
        <v>408</v>
      </c>
      <c r="AK83" s="356">
        <v>0</v>
      </c>
      <c r="AL83" s="358">
        <v>408</v>
      </c>
      <c r="AM83" s="356">
        <v>0</v>
      </c>
      <c r="AO83" s="358">
        <v>0</v>
      </c>
      <c r="AP83" s="355">
        <v>0</v>
      </c>
      <c r="AQ83" s="358">
        <v>0</v>
      </c>
      <c r="AR83" s="355">
        <v>0</v>
      </c>
      <c r="AS83" s="358">
        <v>0</v>
      </c>
      <c r="AT83" s="355"/>
      <c r="AU83" s="358">
        <v>0</v>
      </c>
      <c r="AV83" s="356">
        <v>0</v>
      </c>
    </row>
    <row r="84" spans="2:48" x14ac:dyDescent="0.25">
      <c r="B84" s="359" t="s">
        <v>1331</v>
      </c>
      <c r="C84" t="s">
        <v>1332</v>
      </c>
      <c r="D84" t="s">
        <v>1332</v>
      </c>
      <c r="E84" s="353">
        <v>390</v>
      </c>
      <c r="F84" s="354">
        <v>0</v>
      </c>
      <c r="G84" s="355">
        <v>0</v>
      </c>
      <c r="H84" s="356">
        <v>0</v>
      </c>
      <c r="I84" s="353">
        <v>0</v>
      </c>
      <c r="J84" s="354">
        <v>0</v>
      </c>
      <c r="K84" s="355">
        <v>0</v>
      </c>
      <c r="L84" s="356">
        <v>0</v>
      </c>
      <c r="M84" s="353">
        <v>165</v>
      </c>
      <c r="N84" s="354">
        <v>0</v>
      </c>
      <c r="O84" s="355"/>
      <c r="P84" s="356"/>
      <c r="Q84" s="353">
        <v>555</v>
      </c>
      <c r="R84" s="357">
        <v>0</v>
      </c>
      <c r="S84" s="355">
        <v>0</v>
      </c>
      <c r="T84" s="356">
        <v>0</v>
      </c>
      <c r="V84" s="358">
        <v>0</v>
      </c>
      <c r="W84" s="355">
        <v>0</v>
      </c>
      <c r="X84" s="358">
        <v>0</v>
      </c>
      <c r="Y84" s="355">
        <v>0</v>
      </c>
      <c r="Z84" s="358">
        <v>0</v>
      </c>
      <c r="AA84" s="355"/>
      <c r="AB84" s="354">
        <v>0</v>
      </c>
      <c r="AC84" s="355">
        <v>0</v>
      </c>
      <c r="AD84" s="358">
        <v>0</v>
      </c>
      <c r="AE84" s="355">
        <v>0</v>
      </c>
      <c r="AF84" s="358">
        <v>0</v>
      </c>
      <c r="AG84" s="355">
        <v>0</v>
      </c>
      <c r="AH84" s="358">
        <v>0</v>
      </c>
      <c r="AI84" s="355"/>
      <c r="AJ84" s="358">
        <v>0</v>
      </c>
      <c r="AK84" s="356">
        <v>0</v>
      </c>
      <c r="AL84" s="358">
        <v>0</v>
      </c>
      <c r="AM84" s="356">
        <v>0</v>
      </c>
      <c r="AO84" s="358">
        <v>0</v>
      </c>
      <c r="AP84" s="355">
        <v>0</v>
      </c>
      <c r="AQ84" s="358">
        <v>0</v>
      </c>
      <c r="AR84" s="355">
        <v>0</v>
      </c>
      <c r="AS84" s="358">
        <v>0</v>
      </c>
      <c r="AT84" s="355"/>
      <c r="AU84" s="358">
        <v>0</v>
      </c>
      <c r="AV84" s="356">
        <v>0</v>
      </c>
    </row>
    <row r="85" spans="2:48" x14ac:dyDescent="0.25">
      <c r="B85" s="359" t="s">
        <v>365</v>
      </c>
      <c r="C85" t="s">
        <v>364</v>
      </c>
      <c r="D85" t="s">
        <v>882</v>
      </c>
      <c r="E85" s="353">
        <v>0</v>
      </c>
      <c r="F85" s="354">
        <v>0</v>
      </c>
      <c r="G85" s="355">
        <v>0</v>
      </c>
      <c r="H85" s="356">
        <v>0</v>
      </c>
      <c r="I85" s="353">
        <v>0</v>
      </c>
      <c r="J85" s="354">
        <v>0</v>
      </c>
      <c r="K85" s="355">
        <v>0</v>
      </c>
      <c r="L85" s="356">
        <v>0</v>
      </c>
      <c r="M85" s="353">
        <v>0</v>
      </c>
      <c r="N85" s="354">
        <v>0</v>
      </c>
      <c r="O85" s="355"/>
      <c r="P85" s="356"/>
      <c r="Q85" s="353">
        <v>0</v>
      </c>
      <c r="R85" s="357">
        <v>0</v>
      </c>
      <c r="S85" s="355">
        <v>0</v>
      </c>
      <c r="T85" s="356">
        <v>0</v>
      </c>
      <c r="V85" s="358">
        <v>0</v>
      </c>
      <c r="W85" s="355">
        <v>0</v>
      </c>
      <c r="X85" s="358">
        <v>0</v>
      </c>
      <c r="Y85" s="355">
        <v>0</v>
      </c>
      <c r="Z85" s="358">
        <v>0</v>
      </c>
      <c r="AA85" s="355"/>
      <c r="AB85" s="354">
        <v>0</v>
      </c>
      <c r="AC85" s="355">
        <v>0</v>
      </c>
      <c r="AD85" s="358">
        <v>0</v>
      </c>
      <c r="AE85" s="355">
        <v>0</v>
      </c>
      <c r="AF85" s="358">
        <v>0</v>
      </c>
      <c r="AG85" s="355">
        <v>0</v>
      </c>
      <c r="AH85" s="358">
        <v>0</v>
      </c>
      <c r="AI85" s="355"/>
      <c r="AJ85" s="358">
        <v>0</v>
      </c>
      <c r="AK85" s="356">
        <v>0</v>
      </c>
      <c r="AL85" s="358">
        <v>0</v>
      </c>
      <c r="AM85" s="356">
        <v>0</v>
      </c>
      <c r="AO85" s="358">
        <v>0</v>
      </c>
      <c r="AP85" s="355">
        <v>0</v>
      </c>
      <c r="AQ85" s="358">
        <v>0</v>
      </c>
      <c r="AR85" s="355">
        <v>0</v>
      </c>
      <c r="AS85" s="358">
        <v>0</v>
      </c>
      <c r="AT85" s="355"/>
      <c r="AU85" s="358">
        <v>0</v>
      </c>
      <c r="AV85" s="356">
        <v>0</v>
      </c>
    </row>
    <row r="86" spans="2:48" x14ac:dyDescent="0.25">
      <c r="B86" s="359" t="s">
        <v>1368</v>
      </c>
      <c r="C86" t="s">
        <v>884</v>
      </c>
      <c r="D86" t="s">
        <v>884</v>
      </c>
      <c r="E86" s="353">
        <v>0</v>
      </c>
      <c r="F86" s="354">
        <v>273</v>
      </c>
      <c r="G86" s="355">
        <v>0</v>
      </c>
      <c r="H86" s="356">
        <v>0</v>
      </c>
      <c r="I86" s="353">
        <v>0</v>
      </c>
      <c r="J86" s="354">
        <v>0</v>
      </c>
      <c r="K86" s="355">
        <v>0</v>
      </c>
      <c r="L86" s="356">
        <v>0</v>
      </c>
      <c r="M86" s="353">
        <v>0</v>
      </c>
      <c r="N86" s="354">
        <v>0</v>
      </c>
      <c r="O86" s="355"/>
      <c r="P86" s="356"/>
      <c r="Q86" s="353">
        <v>0</v>
      </c>
      <c r="R86" s="357">
        <v>273</v>
      </c>
      <c r="S86" s="355">
        <v>0</v>
      </c>
      <c r="T86" s="356">
        <v>0</v>
      </c>
      <c r="V86" s="358">
        <v>0</v>
      </c>
      <c r="W86" s="355">
        <v>0</v>
      </c>
      <c r="X86" s="358">
        <v>0</v>
      </c>
      <c r="Y86" s="355">
        <v>0</v>
      </c>
      <c r="Z86" s="358">
        <v>0</v>
      </c>
      <c r="AA86" s="355"/>
      <c r="AB86" s="354">
        <v>0</v>
      </c>
      <c r="AC86" s="355">
        <v>0</v>
      </c>
      <c r="AD86" s="358">
        <v>78</v>
      </c>
      <c r="AE86" s="355">
        <v>0</v>
      </c>
      <c r="AF86" s="358">
        <v>0</v>
      </c>
      <c r="AG86" s="355">
        <v>0</v>
      </c>
      <c r="AH86" s="358">
        <v>0</v>
      </c>
      <c r="AI86" s="355"/>
      <c r="AJ86" s="358">
        <v>78</v>
      </c>
      <c r="AK86" s="356">
        <v>0</v>
      </c>
      <c r="AL86" s="358">
        <v>78</v>
      </c>
      <c r="AM86" s="356">
        <v>0</v>
      </c>
      <c r="AO86" s="358">
        <v>0</v>
      </c>
      <c r="AP86" s="355">
        <v>0</v>
      </c>
      <c r="AQ86" s="358">
        <v>0</v>
      </c>
      <c r="AR86" s="355">
        <v>0</v>
      </c>
      <c r="AS86" s="358">
        <v>0</v>
      </c>
      <c r="AT86" s="355"/>
      <c r="AU86" s="358">
        <v>0</v>
      </c>
      <c r="AV86" s="356">
        <v>0</v>
      </c>
    </row>
    <row r="87" spans="2:48" x14ac:dyDescent="0.25">
      <c r="B87" s="359" t="s">
        <v>366</v>
      </c>
      <c r="C87">
        <v>205852</v>
      </c>
      <c r="D87" t="s">
        <v>885</v>
      </c>
      <c r="E87" s="353">
        <v>0</v>
      </c>
      <c r="F87" s="354">
        <v>0</v>
      </c>
      <c r="G87" s="355">
        <v>0</v>
      </c>
      <c r="H87" s="356">
        <v>0</v>
      </c>
      <c r="I87" s="353">
        <v>0</v>
      </c>
      <c r="J87" s="354">
        <v>0</v>
      </c>
      <c r="K87" s="355">
        <v>0</v>
      </c>
      <c r="L87" s="356">
        <v>0</v>
      </c>
      <c r="M87" s="353">
        <v>165</v>
      </c>
      <c r="N87" s="354">
        <v>165</v>
      </c>
      <c r="O87" s="355"/>
      <c r="P87" s="356"/>
      <c r="Q87" s="353">
        <v>165</v>
      </c>
      <c r="R87" s="357">
        <v>165</v>
      </c>
      <c r="S87" s="355">
        <v>0</v>
      </c>
      <c r="T87" s="356">
        <v>0</v>
      </c>
      <c r="V87" s="358">
        <v>0</v>
      </c>
      <c r="W87" s="355">
        <v>0</v>
      </c>
      <c r="X87" s="358">
        <v>0</v>
      </c>
      <c r="Y87" s="355">
        <v>0</v>
      </c>
      <c r="Z87" s="358">
        <v>0</v>
      </c>
      <c r="AA87" s="355"/>
      <c r="AB87" s="354">
        <v>0</v>
      </c>
      <c r="AC87" s="355">
        <v>0</v>
      </c>
      <c r="AD87" s="358">
        <v>0</v>
      </c>
      <c r="AE87" s="355">
        <v>0</v>
      </c>
      <c r="AF87" s="358">
        <v>0</v>
      </c>
      <c r="AG87" s="355">
        <v>0</v>
      </c>
      <c r="AH87" s="358">
        <v>0</v>
      </c>
      <c r="AI87" s="355"/>
      <c r="AJ87" s="358">
        <v>0</v>
      </c>
      <c r="AK87" s="356">
        <v>0</v>
      </c>
      <c r="AL87" s="358">
        <v>0</v>
      </c>
      <c r="AM87" s="356">
        <v>0</v>
      </c>
      <c r="AO87" s="358">
        <v>0</v>
      </c>
      <c r="AP87" s="355">
        <v>0</v>
      </c>
      <c r="AQ87" s="358">
        <v>0</v>
      </c>
      <c r="AR87" s="355">
        <v>0</v>
      </c>
      <c r="AS87" s="358">
        <v>0</v>
      </c>
      <c r="AT87" s="355"/>
      <c r="AU87" s="358">
        <v>0</v>
      </c>
      <c r="AV87" s="356">
        <v>0</v>
      </c>
    </row>
    <row r="88" spans="2:48" x14ac:dyDescent="0.25">
      <c r="B88" s="359" t="s">
        <v>367</v>
      </c>
      <c r="C88" t="s">
        <v>1037</v>
      </c>
      <c r="D88" t="s">
        <v>1037</v>
      </c>
      <c r="E88" s="353">
        <v>195</v>
      </c>
      <c r="F88" s="354">
        <v>13</v>
      </c>
      <c r="G88" s="355">
        <v>0</v>
      </c>
      <c r="H88" s="356">
        <v>0</v>
      </c>
      <c r="I88" s="353">
        <v>210</v>
      </c>
      <c r="J88" s="354">
        <v>14</v>
      </c>
      <c r="K88" s="355">
        <v>0</v>
      </c>
      <c r="L88" s="356">
        <v>0</v>
      </c>
      <c r="M88" s="353">
        <v>165</v>
      </c>
      <c r="N88" s="354">
        <v>11</v>
      </c>
      <c r="O88" s="355"/>
      <c r="P88" s="356"/>
      <c r="Q88" s="353">
        <v>570</v>
      </c>
      <c r="R88" s="357">
        <v>38</v>
      </c>
      <c r="S88" s="355">
        <v>0</v>
      </c>
      <c r="T88" s="356">
        <v>0</v>
      </c>
      <c r="V88" s="358">
        <v>0</v>
      </c>
      <c r="W88" s="355">
        <v>0</v>
      </c>
      <c r="X88" s="358">
        <v>0</v>
      </c>
      <c r="Y88" s="355">
        <v>0</v>
      </c>
      <c r="Z88" s="358">
        <v>0</v>
      </c>
      <c r="AA88" s="355"/>
      <c r="AB88" s="354">
        <v>0</v>
      </c>
      <c r="AC88" s="355">
        <v>0</v>
      </c>
      <c r="AD88" s="358">
        <v>0</v>
      </c>
      <c r="AE88" s="355">
        <v>0</v>
      </c>
      <c r="AF88" s="358">
        <v>0</v>
      </c>
      <c r="AG88" s="355">
        <v>0</v>
      </c>
      <c r="AH88" s="358">
        <v>0</v>
      </c>
      <c r="AI88" s="355"/>
      <c r="AJ88" s="358">
        <v>0</v>
      </c>
      <c r="AK88" s="356">
        <v>0</v>
      </c>
      <c r="AL88" s="358">
        <v>0</v>
      </c>
      <c r="AM88" s="356">
        <v>0</v>
      </c>
      <c r="AO88" s="358">
        <v>0</v>
      </c>
      <c r="AP88" s="355">
        <v>0</v>
      </c>
      <c r="AQ88" s="358">
        <v>0</v>
      </c>
      <c r="AR88" s="355">
        <v>0</v>
      </c>
      <c r="AS88" s="358">
        <v>0</v>
      </c>
      <c r="AT88" s="355"/>
      <c r="AU88" s="358">
        <v>0</v>
      </c>
      <c r="AV88" s="356">
        <v>0</v>
      </c>
    </row>
    <row r="89" spans="2:48" x14ac:dyDescent="0.25">
      <c r="B89" s="359" t="s">
        <v>368</v>
      </c>
      <c r="C89">
        <v>205922</v>
      </c>
      <c r="D89" t="s">
        <v>886</v>
      </c>
      <c r="E89" s="353">
        <v>390</v>
      </c>
      <c r="F89" s="354">
        <v>526.5</v>
      </c>
      <c r="G89" s="355">
        <v>0</v>
      </c>
      <c r="H89" s="356">
        <v>0</v>
      </c>
      <c r="I89" s="353">
        <v>210</v>
      </c>
      <c r="J89" s="354">
        <v>357</v>
      </c>
      <c r="K89" s="355">
        <v>0</v>
      </c>
      <c r="L89" s="356">
        <v>0</v>
      </c>
      <c r="M89" s="353">
        <v>165</v>
      </c>
      <c r="N89" s="354">
        <v>280.5</v>
      </c>
      <c r="O89" s="355"/>
      <c r="P89" s="356"/>
      <c r="Q89" s="353">
        <v>765</v>
      </c>
      <c r="R89" s="357">
        <v>1164</v>
      </c>
      <c r="S89" s="355">
        <v>0</v>
      </c>
      <c r="T89" s="356">
        <v>0</v>
      </c>
      <c r="V89" s="358">
        <v>390</v>
      </c>
      <c r="W89" s="355">
        <v>0</v>
      </c>
      <c r="X89" s="358">
        <v>0</v>
      </c>
      <c r="Y89" s="355">
        <v>0</v>
      </c>
      <c r="Z89" s="358">
        <v>330</v>
      </c>
      <c r="AA89" s="355"/>
      <c r="AB89" s="354">
        <v>720</v>
      </c>
      <c r="AC89" s="355">
        <v>0</v>
      </c>
      <c r="AD89" s="358">
        <v>136.5</v>
      </c>
      <c r="AE89" s="355">
        <v>0</v>
      </c>
      <c r="AF89" s="358">
        <v>147</v>
      </c>
      <c r="AG89" s="355">
        <v>0</v>
      </c>
      <c r="AH89" s="358">
        <v>115.5</v>
      </c>
      <c r="AI89" s="355"/>
      <c r="AJ89" s="358">
        <v>399</v>
      </c>
      <c r="AK89" s="356">
        <v>0</v>
      </c>
      <c r="AL89" s="358">
        <v>1119</v>
      </c>
      <c r="AM89" s="356">
        <v>0</v>
      </c>
      <c r="AO89" s="358">
        <v>0</v>
      </c>
      <c r="AP89" s="355">
        <v>0</v>
      </c>
      <c r="AQ89" s="358">
        <v>0</v>
      </c>
      <c r="AR89" s="355">
        <v>0</v>
      </c>
      <c r="AS89" s="358">
        <v>0</v>
      </c>
      <c r="AT89" s="355"/>
      <c r="AU89" s="358">
        <v>0</v>
      </c>
      <c r="AV89" s="356">
        <v>0</v>
      </c>
    </row>
    <row r="90" spans="2:48" x14ac:dyDescent="0.25">
      <c r="B90" s="359" t="s">
        <v>370</v>
      </c>
      <c r="C90" t="s">
        <v>369</v>
      </c>
      <c r="D90" t="s">
        <v>887</v>
      </c>
      <c r="E90" s="353">
        <v>390</v>
      </c>
      <c r="F90" s="354">
        <v>195</v>
      </c>
      <c r="G90" s="355">
        <v>0</v>
      </c>
      <c r="H90" s="356">
        <v>0</v>
      </c>
      <c r="I90" s="353">
        <v>210</v>
      </c>
      <c r="J90" s="354">
        <v>210</v>
      </c>
      <c r="K90" s="355">
        <v>0</v>
      </c>
      <c r="L90" s="356">
        <v>0</v>
      </c>
      <c r="M90" s="353">
        <v>330</v>
      </c>
      <c r="N90" s="354">
        <v>165</v>
      </c>
      <c r="O90" s="355"/>
      <c r="P90" s="356"/>
      <c r="Q90" s="353">
        <v>930</v>
      </c>
      <c r="R90" s="357">
        <v>570</v>
      </c>
      <c r="S90" s="355">
        <v>0</v>
      </c>
      <c r="T90" s="356">
        <v>0</v>
      </c>
      <c r="V90" s="358">
        <v>0</v>
      </c>
      <c r="W90" s="355">
        <v>0</v>
      </c>
      <c r="X90" s="358">
        <v>0</v>
      </c>
      <c r="Y90" s="355">
        <v>0</v>
      </c>
      <c r="Z90" s="358">
        <v>0</v>
      </c>
      <c r="AA90" s="355"/>
      <c r="AB90" s="354">
        <v>0</v>
      </c>
      <c r="AC90" s="355">
        <v>0</v>
      </c>
      <c r="AD90" s="358">
        <v>195</v>
      </c>
      <c r="AE90" s="355">
        <v>0</v>
      </c>
      <c r="AF90" s="358">
        <v>0</v>
      </c>
      <c r="AG90" s="355">
        <v>0</v>
      </c>
      <c r="AH90" s="358">
        <v>165</v>
      </c>
      <c r="AI90" s="355"/>
      <c r="AJ90" s="358">
        <v>360</v>
      </c>
      <c r="AK90" s="356">
        <v>0</v>
      </c>
      <c r="AL90" s="358">
        <v>360</v>
      </c>
      <c r="AM90" s="356">
        <v>0</v>
      </c>
      <c r="AO90" s="358">
        <v>0</v>
      </c>
      <c r="AP90" s="355">
        <v>0</v>
      </c>
      <c r="AQ90" s="358">
        <v>0</v>
      </c>
      <c r="AR90" s="355">
        <v>0</v>
      </c>
      <c r="AS90" s="358">
        <v>0</v>
      </c>
      <c r="AT90" s="355"/>
      <c r="AU90" s="358">
        <v>0</v>
      </c>
      <c r="AV90" s="356">
        <v>0</v>
      </c>
    </row>
    <row r="91" spans="2:48" x14ac:dyDescent="0.25">
      <c r="B91" s="359" t="s">
        <v>372</v>
      </c>
      <c r="C91" t="s">
        <v>371</v>
      </c>
      <c r="D91" t="s">
        <v>888</v>
      </c>
      <c r="E91" s="353">
        <v>1170</v>
      </c>
      <c r="F91" s="354">
        <v>585</v>
      </c>
      <c r="G91" s="355">
        <v>0</v>
      </c>
      <c r="H91" s="356">
        <v>0</v>
      </c>
      <c r="I91" s="353">
        <v>630</v>
      </c>
      <c r="J91" s="354">
        <v>420</v>
      </c>
      <c r="K91" s="355">
        <v>0</v>
      </c>
      <c r="L91" s="356">
        <v>0</v>
      </c>
      <c r="M91" s="353">
        <v>825</v>
      </c>
      <c r="N91" s="354">
        <v>660</v>
      </c>
      <c r="O91" s="355"/>
      <c r="P91" s="356"/>
      <c r="Q91" s="353">
        <v>2625</v>
      </c>
      <c r="R91" s="357">
        <v>1665</v>
      </c>
      <c r="S91" s="355">
        <v>0</v>
      </c>
      <c r="T91" s="356">
        <v>0</v>
      </c>
      <c r="V91" s="358">
        <v>390</v>
      </c>
      <c r="W91" s="355">
        <v>0</v>
      </c>
      <c r="X91" s="358">
        <v>840</v>
      </c>
      <c r="Y91" s="355">
        <v>0</v>
      </c>
      <c r="Z91" s="358">
        <v>330</v>
      </c>
      <c r="AA91" s="355"/>
      <c r="AB91" s="354">
        <v>1560</v>
      </c>
      <c r="AC91" s="355">
        <v>0</v>
      </c>
      <c r="AD91" s="358">
        <v>195</v>
      </c>
      <c r="AE91" s="355">
        <v>0</v>
      </c>
      <c r="AF91" s="358">
        <v>210</v>
      </c>
      <c r="AG91" s="355">
        <v>0</v>
      </c>
      <c r="AH91" s="358">
        <v>330</v>
      </c>
      <c r="AI91" s="355"/>
      <c r="AJ91" s="358">
        <v>735</v>
      </c>
      <c r="AK91" s="356">
        <v>0</v>
      </c>
      <c r="AL91" s="358">
        <v>2295</v>
      </c>
      <c r="AM91" s="356">
        <v>0</v>
      </c>
      <c r="AO91" s="358">
        <v>0</v>
      </c>
      <c r="AP91" s="355">
        <v>0</v>
      </c>
      <c r="AQ91" s="358">
        <v>0</v>
      </c>
      <c r="AR91" s="355">
        <v>0</v>
      </c>
      <c r="AS91" s="358">
        <v>0</v>
      </c>
      <c r="AT91" s="355"/>
      <c r="AU91" s="358">
        <v>0</v>
      </c>
      <c r="AV91" s="356">
        <v>0</v>
      </c>
    </row>
    <row r="92" spans="2:48" x14ac:dyDescent="0.25">
      <c r="B92" s="359" t="s">
        <v>889</v>
      </c>
      <c r="C92" t="s">
        <v>1333</v>
      </c>
      <c r="D92" t="s">
        <v>1333</v>
      </c>
      <c r="E92" s="353">
        <v>195</v>
      </c>
      <c r="F92" s="354">
        <v>195</v>
      </c>
      <c r="G92" s="355">
        <v>0</v>
      </c>
      <c r="H92" s="356">
        <v>0</v>
      </c>
      <c r="I92" s="353">
        <v>0</v>
      </c>
      <c r="J92" s="354">
        <v>0</v>
      </c>
      <c r="K92" s="355">
        <v>0</v>
      </c>
      <c r="L92" s="356">
        <v>0</v>
      </c>
      <c r="M92" s="353">
        <v>165</v>
      </c>
      <c r="N92" s="354">
        <v>165</v>
      </c>
      <c r="O92" s="355"/>
      <c r="P92" s="356"/>
      <c r="Q92" s="353">
        <v>360</v>
      </c>
      <c r="R92" s="357">
        <v>360</v>
      </c>
      <c r="S92" s="355">
        <v>0</v>
      </c>
      <c r="T92" s="356">
        <v>0</v>
      </c>
      <c r="V92" s="358">
        <v>0</v>
      </c>
      <c r="W92" s="355">
        <v>0</v>
      </c>
      <c r="X92" s="358">
        <v>0</v>
      </c>
      <c r="Y92" s="355">
        <v>0</v>
      </c>
      <c r="Z92" s="358">
        <v>0</v>
      </c>
      <c r="AA92" s="355"/>
      <c r="AB92" s="354">
        <v>0</v>
      </c>
      <c r="AC92" s="355">
        <v>0</v>
      </c>
      <c r="AD92" s="358">
        <v>0</v>
      </c>
      <c r="AE92" s="355">
        <v>0</v>
      </c>
      <c r="AF92" s="358">
        <v>0</v>
      </c>
      <c r="AG92" s="355">
        <v>0</v>
      </c>
      <c r="AH92" s="358">
        <v>0</v>
      </c>
      <c r="AI92" s="355"/>
      <c r="AJ92" s="358">
        <v>0</v>
      </c>
      <c r="AK92" s="356">
        <v>0</v>
      </c>
      <c r="AL92" s="358">
        <v>0</v>
      </c>
      <c r="AM92" s="356">
        <v>0</v>
      </c>
      <c r="AO92" s="358">
        <v>0</v>
      </c>
      <c r="AP92" s="355">
        <v>0</v>
      </c>
      <c r="AQ92" s="358">
        <v>0</v>
      </c>
      <c r="AR92" s="355">
        <v>0</v>
      </c>
      <c r="AS92" s="358">
        <v>0</v>
      </c>
      <c r="AT92" s="355"/>
      <c r="AU92" s="358">
        <v>0</v>
      </c>
      <c r="AV92" s="356">
        <v>0</v>
      </c>
    </row>
    <row r="93" spans="2:48" x14ac:dyDescent="0.25">
      <c r="B93" s="359" t="s">
        <v>373</v>
      </c>
      <c r="C93">
        <v>205947</v>
      </c>
      <c r="D93" t="s">
        <v>891</v>
      </c>
      <c r="E93" s="353">
        <v>390</v>
      </c>
      <c r="F93" s="354">
        <v>351</v>
      </c>
      <c r="G93" s="355">
        <v>0</v>
      </c>
      <c r="H93" s="356">
        <v>0</v>
      </c>
      <c r="I93" s="353">
        <v>0</v>
      </c>
      <c r="J93" s="354">
        <v>0</v>
      </c>
      <c r="K93" s="355">
        <v>0</v>
      </c>
      <c r="L93" s="356">
        <v>0</v>
      </c>
      <c r="M93" s="353">
        <v>165</v>
      </c>
      <c r="N93" s="354">
        <v>132</v>
      </c>
      <c r="O93" s="355"/>
      <c r="P93" s="356"/>
      <c r="Q93" s="353">
        <v>555</v>
      </c>
      <c r="R93" s="357">
        <v>483</v>
      </c>
      <c r="S93" s="355">
        <v>0</v>
      </c>
      <c r="T93" s="356">
        <v>0</v>
      </c>
      <c r="V93" s="358">
        <v>351</v>
      </c>
      <c r="W93" s="355">
        <v>0</v>
      </c>
      <c r="X93" s="358">
        <v>0</v>
      </c>
      <c r="Y93" s="355">
        <v>0</v>
      </c>
      <c r="Z93" s="358">
        <v>297</v>
      </c>
      <c r="AA93" s="355"/>
      <c r="AB93" s="354">
        <v>648</v>
      </c>
      <c r="AC93" s="355">
        <v>0</v>
      </c>
      <c r="AD93" s="358">
        <v>0</v>
      </c>
      <c r="AE93" s="355">
        <v>0</v>
      </c>
      <c r="AF93" s="358">
        <v>0</v>
      </c>
      <c r="AG93" s="355">
        <v>0</v>
      </c>
      <c r="AH93" s="358">
        <v>0</v>
      </c>
      <c r="AI93" s="355"/>
      <c r="AJ93" s="358">
        <v>0</v>
      </c>
      <c r="AK93" s="356">
        <v>0</v>
      </c>
      <c r="AL93" s="358">
        <v>648</v>
      </c>
      <c r="AM93" s="356">
        <v>0</v>
      </c>
      <c r="AO93" s="358">
        <v>0</v>
      </c>
      <c r="AP93" s="355">
        <v>0</v>
      </c>
      <c r="AQ93" s="358">
        <v>0</v>
      </c>
      <c r="AR93" s="355">
        <v>0</v>
      </c>
      <c r="AS93" s="358">
        <v>0</v>
      </c>
      <c r="AT93" s="355"/>
      <c r="AU93" s="358">
        <v>0</v>
      </c>
      <c r="AV93" s="356">
        <v>0</v>
      </c>
    </row>
    <row r="94" spans="2:48" x14ac:dyDescent="0.25">
      <c r="B94" s="359" t="s">
        <v>376</v>
      </c>
      <c r="C94" t="s">
        <v>375</v>
      </c>
      <c r="D94" t="s">
        <v>892</v>
      </c>
      <c r="E94" s="353">
        <v>585</v>
      </c>
      <c r="F94" s="354">
        <v>676</v>
      </c>
      <c r="G94" s="355">
        <v>0</v>
      </c>
      <c r="H94" s="356">
        <v>0</v>
      </c>
      <c r="I94" s="353">
        <v>630</v>
      </c>
      <c r="J94" s="354">
        <v>462</v>
      </c>
      <c r="K94" s="355">
        <v>0</v>
      </c>
      <c r="L94" s="356">
        <v>0</v>
      </c>
      <c r="M94" s="353">
        <v>495</v>
      </c>
      <c r="N94" s="354">
        <v>407</v>
      </c>
      <c r="O94" s="355"/>
      <c r="P94" s="356"/>
      <c r="Q94" s="353">
        <v>1710</v>
      </c>
      <c r="R94" s="357">
        <v>1545</v>
      </c>
      <c r="S94" s="355">
        <v>0</v>
      </c>
      <c r="T94" s="356">
        <v>0</v>
      </c>
      <c r="V94" s="358">
        <v>0</v>
      </c>
      <c r="W94" s="355">
        <v>0</v>
      </c>
      <c r="X94" s="358">
        <v>0</v>
      </c>
      <c r="Y94" s="355">
        <v>0</v>
      </c>
      <c r="Z94" s="358">
        <v>0</v>
      </c>
      <c r="AA94" s="355"/>
      <c r="AB94" s="354">
        <v>0</v>
      </c>
      <c r="AC94" s="355">
        <v>0</v>
      </c>
      <c r="AD94" s="358">
        <v>0</v>
      </c>
      <c r="AE94" s="355">
        <v>0</v>
      </c>
      <c r="AF94" s="358">
        <v>0</v>
      </c>
      <c r="AG94" s="355">
        <v>0</v>
      </c>
      <c r="AH94" s="358">
        <v>165</v>
      </c>
      <c r="AI94" s="355"/>
      <c r="AJ94" s="358">
        <v>165</v>
      </c>
      <c r="AK94" s="356">
        <v>0</v>
      </c>
      <c r="AL94" s="358">
        <v>165</v>
      </c>
      <c r="AM94" s="356">
        <v>0</v>
      </c>
      <c r="AO94" s="358">
        <v>0</v>
      </c>
      <c r="AP94" s="355">
        <v>0</v>
      </c>
      <c r="AQ94" s="358">
        <v>0</v>
      </c>
      <c r="AR94" s="355">
        <v>0</v>
      </c>
      <c r="AS94" s="358">
        <v>0</v>
      </c>
      <c r="AT94" s="355"/>
      <c r="AU94" s="358">
        <v>0</v>
      </c>
      <c r="AV94" s="356">
        <v>0</v>
      </c>
    </row>
    <row r="95" spans="2:48" x14ac:dyDescent="0.25">
      <c r="B95" s="359" t="s">
        <v>374</v>
      </c>
      <c r="C95" t="s">
        <v>893</v>
      </c>
      <c r="D95" t="s">
        <v>893</v>
      </c>
      <c r="E95" s="353">
        <v>585</v>
      </c>
      <c r="F95" s="354">
        <v>195</v>
      </c>
      <c r="G95" s="355">
        <v>0</v>
      </c>
      <c r="H95" s="356">
        <v>0</v>
      </c>
      <c r="I95" s="353">
        <v>0</v>
      </c>
      <c r="J95" s="354">
        <v>0</v>
      </c>
      <c r="K95" s="355">
        <v>0</v>
      </c>
      <c r="L95" s="356">
        <v>0</v>
      </c>
      <c r="M95" s="353">
        <v>495</v>
      </c>
      <c r="N95" s="354">
        <v>165</v>
      </c>
      <c r="O95" s="355"/>
      <c r="P95" s="356"/>
      <c r="Q95" s="353">
        <v>1080</v>
      </c>
      <c r="R95" s="357">
        <v>360</v>
      </c>
      <c r="S95" s="355">
        <v>0</v>
      </c>
      <c r="T95" s="356">
        <v>0</v>
      </c>
      <c r="V95" s="358">
        <v>0</v>
      </c>
      <c r="W95" s="355">
        <v>0</v>
      </c>
      <c r="X95" s="358">
        <v>0</v>
      </c>
      <c r="Y95" s="355">
        <v>0</v>
      </c>
      <c r="Z95" s="358">
        <v>0</v>
      </c>
      <c r="AA95" s="355"/>
      <c r="AB95" s="354">
        <v>0</v>
      </c>
      <c r="AC95" s="355">
        <v>0</v>
      </c>
      <c r="AD95" s="358">
        <v>195</v>
      </c>
      <c r="AE95" s="355">
        <v>0</v>
      </c>
      <c r="AF95" s="358">
        <v>0</v>
      </c>
      <c r="AG95" s="355">
        <v>0</v>
      </c>
      <c r="AH95" s="358">
        <v>165</v>
      </c>
      <c r="AI95" s="355"/>
      <c r="AJ95" s="358">
        <v>360</v>
      </c>
      <c r="AK95" s="356">
        <v>0</v>
      </c>
      <c r="AL95" s="358">
        <v>360</v>
      </c>
      <c r="AM95" s="356">
        <v>0</v>
      </c>
      <c r="AO95" s="358">
        <v>0</v>
      </c>
      <c r="AP95" s="355">
        <v>0</v>
      </c>
      <c r="AQ95" s="358">
        <v>0</v>
      </c>
      <c r="AR95" s="355">
        <v>0</v>
      </c>
      <c r="AS95" s="358">
        <v>0</v>
      </c>
      <c r="AT95" s="355"/>
      <c r="AU95" s="358">
        <v>0</v>
      </c>
      <c r="AV95" s="356">
        <v>0</v>
      </c>
    </row>
    <row r="96" spans="2:48" x14ac:dyDescent="0.25">
      <c r="B96" s="359" t="s">
        <v>380</v>
      </c>
      <c r="C96" t="s">
        <v>379</v>
      </c>
      <c r="D96" t="s">
        <v>894</v>
      </c>
      <c r="E96" s="353">
        <v>390</v>
      </c>
      <c r="F96" s="354">
        <v>780</v>
      </c>
      <c r="G96" s="355">
        <v>0</v>
      </c>
      <c r="H96" s="356">
        <v>0</v>
      </c>
      <c r="I96" s="353">
        <v>0</v>
      </c>
      <c r="J96" s="354">
        <v>0</v>
      </c>
      <c r="K96" s="355">
        <v>0</v>
      </c>
      <c r="L96" s="356">
        <v>0</v>
      </c>
      <c r="M96" s="353">
        <v>330</v>
      </c>
      <c r="N96" s="354">
        <v>660</v>
      </c>
      <c r="O96" s="355"/>
      <c r="P96" s="356"/>
      <c r="Q96" s="353">
        <v>720</v>
      </c>
      <c r="R96" s="357">
        <v>1440</v>
      </c>
      <c r="S96" s="355">
        <v>0</v>
      </c>
      <c r="T96" s="356">
        <v>0</v>
      </c>
      <c r="V96" s="358">
        <v>0</v>
      </c>
      <c r="W96" s="355">
        <v>0</v>
      </c>
      <c r="X96" s="358">
        <v>0</v>
      </c>
      <c r="Y96" s="355">
        <v>0</v>
      </c>
      <c r="Z96" s="358">
        <v>0</v>
      </c>
      <c r="AA96" s="355"/>
      <c r="AB96" s="354">
        <v>0</v>
      </c>
      <c r="AC96" s="355">
        <v>0</v>
      </c>
      <c r="AD96" s="358">
        <v>975</v>
      </c>
      <c r="AE96" s="355">
        <v>0</v>
      </c>
      <c r="AF96" s="358">
        <v>0</v>
      </c>
      <c r="AG96" s="355">
        <v>0</v>
      </c>
      <c r="AH96" s="358">
        <v>825</v>
      </c>
      <c r="AI96" s="355"/>
      <c r="AJ96" s="358">
        <v>1800</v>
      </c>
      <c r="AK96" s="356">
        <v>0</v>
      </c>
      <c r="AL96" s="358">
        <v>1800</v>
      </c>
      <c r="AM96" s="356">
        <v>0</v>
      </c>
      <c r="AO96" s="358">
        <v>0</v>
      </c>
      <c r="AP96" s="355">
        <v>0</v>
      </c>
      <c r="AQ96" s="358">
        <v>0</v>
      </c>
      <c r="AR96" s="355">
        <v>0</v>
      </c>
      <c r="AS96" s="358">
        <v>0</v>
      </c>
      <c r="AT96" s="355"/>
      <c r="AU96" s="358">
        <v>0</v>
      </c>
      <c r="AV96" s="356">
        <v>0</v>
      </c>
    </row>
    <row r="97" spans="2:48" x14ac:dyDescent="0.25">
      <c r="B97" s="359" t="s">
        <v>1334</v>
      </c>
      <c r="C97" t="s">
        <v>1039</v>
      </c>
      <c r="D97" t="s">
        <v>1039</v>
      </c>
      <c r="E97" s="353">
        <v>195</v>
      </c>
      <c r="F97" s="354">
        <v>195</v>
      </c>
      <c r="G97" s="355">
        <v>0</v>
      </c>
      <c r="H97" s="356">
        <v>0</v>
      </c>
      <c r="I97" s="353">
        <v>630</v>
      </c>
      <c r="J97" s="354">
        <v>420</v>
      </c>
      <c r="K97" s="355">
        <v>0</v>
      </c>
      <c r="L97" s="356">
        <v>0</v>
      </c>
      <c r="M97" s="353">
        <v>165</v>
      </c>
      <c r="N97" s="354">
        <v>165</v>
      </c>
      <c r="O97" s="355"/>
      <c r="P97" s="356"/>
      <c r="Q97" s="353">
        <v>990</v>
      </c>
      <c r="R97" s="357">
        <v>780</v>
      </c>
      <c r="S97" s="355">
        <v>0</v>
      </c>
      <c r="T97" s="356">
        <v>0</v>
      </c>
      <c r="V97" s="358">
        <v>0</v>
      </c>
      <c r="W97" s="355">
        <v>0</v>
      </c>
      <c r="X97" s="358">
        <v>0</v>
      </c>
      <c r="Y97" s="355">
        <v>0</v>
      </c>
      <c r="Z97" s="358">
        <v>0</v>
      </c>
      <c r="AA97" s="355"/>
      <c r="AB97" s="354">
        <v>0</v>
      </c>
      <c r="AC97" s="355">
        <v>0</v>
      </c>
      <c r="AD97" s="358">
        <v>0</v>
      </c>
      <c r="AE97" s="355">
        <v>0</v>
      </c>
      <c r="AF97" s="358">
        <v>0</v>
      </c>
      <c r="AG97" s="355">
        <v>0</v>
      </c>
      <c r="AH97" s="358">
        <v>0</v>
      </c>
      <c r="AI97" s="355"/>
      <c r="AJ97" s="358">
        <v>0</v>
      </c>
      <c r="AK97" s="356">
        <v>0</v>
      </c>
      <c r="AL97" s="358">
        <v>0</v>
      </c>
      <c r="AM97" s="356">
        <v>0</v>
      </c>
      <c r="AO97" s="358">
        <v>0</v>
      </c>
      <c r="AP97" s="355">
        <v>0</v>
      </c>
      <c r="AQ97" s="358">
        <v>0</v>
      </c>
      <c r="AR97" s="355">
        <v>0</v>
      </c>
      <c r="AS97" s="358">
        <v>0</v>
      </c>
      <c r="AT97" s="355"/>
      <c r="AU97" s="358">
        <v>0</v>
      </c>
      <c r="AV97" s="356">
        <v>0</v>
      </c>
    </row>
    <row r="98" spans="2:48" x14ac:dyDescent="0.25">
      <c r="B98" s="359" t="s">
        <v>383</v>
      </c>
      <c r="C98" t="s">
        <v>382</v>
      </c>
      <c r="D98" t="s">
        <v>895</v>
      </c>
      <c r="E98" s="353">
        <v>1040</v>
      </c>
      <c r="F98" s="354">
        <v>585</v>
      </c>
      <c r="G98" s="355">
        <v>0</v>
      </c>
      <c r="H98" s="356">
        <v>0</v>
      </c>
      <c r="I98" s="353">
        <v>210</v>
      </c>
      <c r="J98" s="354">
        <v>210</v>
      </c>
      <c r="K98" s="355">
        <v>0</v>
      </c>
      <c r="L98" s="356">
        <v>0</v>
      </c>
      <c r="M98" s="353">
        <v>660</v>
      </c>
      <c r="N98" s="354">
        <v>330</v>
      </c>
      <c r="O98" s="355"/>
      <c r="P98" s="356"/>
      <c r="Q98" s="353">
        <v>1910</v>
      </c>
      <c r="R98" s="357">
        <v>1125</v>
      </c>
      <c r="S98" s="355">
        <v>0</v>
      </c>
      <c r="T98" s="356">
        <v>0</v>
      </c>
      <c r="V98" s="358">
        <v>455</v>
      </c>
      <c r="W98" s="355">
        <v>0</v>
      </c>
      <c r="X98" s="358">
        <v>420</v>
      </c>
      <c r="Y98" s="355">
        <v>0</v>
      </c>
      <c r="Z98" s="358">
        <v>0</v>
      </c>
      <c r="AA98" s="355"/>
      <c r="AB98" s="354">
        <v>875</v>
      </c>
      <c r="AC98" s="355">
        <v>0</v>
      </c>
      <c r="AD98" s="358">
        <v>390</v>
      </c>
      <c r="AE98" s="355">
        <v>0</v>
      </c>
      <c r="AF98" s="358">
        <v>0</v>
      </c>
      <c r="AG98" s="355">
        <v>0</v>
      </c>
      <c r="AH98" s="358">
        <v>330</v>
      </c>
      <c r="AI98" s="355"/>
      <c r="AJ98" s="358">
        <v>720</v>
      </c>
      <c r="AK98" s="356">
        <v>0</v>
      </c>
      <c r="AL98" s="358">
        <v>1595</v>
      </c>
      <c r="AM98" s="356">
        <v>0</v>
      </c>
      <c r="AO98" s="358">
        <v>0</v>
      </c>
      <c r="AP98" s="355">
        <v>0</v>
      </c>
      <c r="AQ98" s="358">
        <v>0</v>
      </c>
      <c r="AR98" s="355">
        <v>0</v>
      </c>
      <c r="AS98" s="358">
        <v>0</v>
      </c>
      <c r="AT98" s="355"/>
      <c r="AU98" s="358">
        <v>0</v>
      </c>
      <c r="AV98" s="356">
        <v>0</v>
      </c>
    </row>
    <row r="99" spans="2:48" x14ac:dyDescent="0.25">
      <c r="B99" s="359" t="s">
        <v>385</v>
      </c>
      <c r="C99" t="s">
        <v>384</v>
      </c>
      <c r="D99" t="s">
        <v>896</v>
      </c>
      <c r="E99" s="353">
        <v>0</v>
      </c>
      <c r="F99" s="354">
        <v>0</v>
      </c>
      <c r="G99" s="355">
        <v>0</v>
      </c>
      <c r="H99" s="356">
        <v>0</v>
      </c>
      <c r="I99" s="353">
        <v>0</v>
      </c>
      <c r="J99" s="354">
        <v>0</v>
      </c>
      <c r="K99" s="355">
        <v>0</v>
      </c>
      <c r="L99" s="356">
        <v>0</v>
      </c>
      <c r="M99" s="353">
        <v>0</v>
      </c>
      <c r="N99" s="354">
        <v>0</v>
      </c>
      <c r="O99" s="355"/>
      <c r="P99" s="356"/>
      <c r="Q99" s="353">
        <v>0</v>
      </c>
      <c r="R99" s="357">
        <v>0</v>
      </c>
      <c r="S99" s="355">
        <v>0</v>
      </c>
      <c r="T99" s="356">
        <v>0</v>
      </c>
      <c r="V99" s="358">
        <v>0</v>
      </c>
      <c r="W99" s="355">
        <v>0</v>
      </c>
      <c r="X99" s="358">
        <v>0</v>
      </c>
      <c r="Y99" s="355">
        <v>0</v>
      </c>
      <c r="Z99" s="358">
        <v>0</v>
      </c>
      <c r="AA99" s="355"/>
      <c r="AB99" s="354">
        <v>0</v>
      </c>
      <c r="AC99" s="355">
        <v>0</v>
      </c>
      <c r="AD99" s="358">
        <v>0</v>
      </c>
      <c r="AE99" s="355">
        <v>0</v>
      </c>
      <c r="AF99" s="358">
        <v>0</v>
      </c>
      <c r="AG99" s="355">
        <v>0</v>
      </c>
      <c r="AH99" s="358">
        <v>0</v>
      </c>
      <c r="AI99" s="355"/>
      <c r="AJ99" s="358">
        <v>0</v>
      </c>
      <c r="AK99" s="356">
        <v>0</v>
      </c>
      <c r="AL99" s="358">
        <v>0</v>
      </c>
      <c r="AM99" s="356">
        <v>0</v>
      </c>
      <c r="AO99" s="358">
        <v>0</v>
      </c>
      <c r="AP99" s="355">
        <v>0</v>
      </c>
      <c r="AQ99" s="358">
        <v>0</v>
      </c>
      <c r="AR99" s="355">
        <v>0</v>
      </c>
      <c r="AS99" s="358">
        <v>0</v>
      </c>
      <c r="AT99" s="355"/>
      <c r="AU99" s="358">
        <v>0</v>
      </c>
      <c r="AV99" s="356">
        <v>0</v>
      </c>
    </row>
    <row r="100" spans="2:48" x14ac:dyDescent="0.25">
      <c r="B100" s="359" t="s">
        <v>387</v>
      </c>
      <c r="C100" t="s">
        <v>386</v>
      </c>
      <c r="D100" t="s">
        <v>897</v>
      </c>
      <c r="E100" s="353">
        <v>975</v>
      </c>
      <c r="F100" s="354">
        <v>975</v>
      </c>
      <c r="G100" s="355">
        <v>0</v>
      </c>
      <c r="H100" s="356">
        <v>0</v>
      </c>
      <c r="I100" s="353">
        <v>0</v>
      </c>
      <c r="J100" s="354">
        <v>0</v>
      </c>
      <c r="K100" s="355">
        <v>0</v>
      </c>
      <c r="L100" s="356">
        <v>0</v>
      </c>
      <c r="M100" s="353">
        <v>825</v>
      </c>
      <c r="N100" s="354">
        <v>825</v>
      </c>
      <c r="O100" s="355"/>
      <c r="P100" s="356"/>
      <c r="Q100" s="353">
        <v>1800</v>
      </c>
      <c r="R100" s="357">
        <v>1800</v>
      </c>
      <c r="S100" s="355">
        <v>0</v>
      </c>
      <c r="T100" s="356">
        <v>0</v>
      </c>
      <c r="V100" s="358">
        <v>0</v>
      </c>
      <c r="W100" s="355">
        <v>0</v>
      </c>
      <c r="X100" s="358">
        <v>0</v>
      </c>
      <c r="Y100" s="355">
        <v>0</v>
      </c>
      <c r="Z100" s="358">
        <v>0</v>
      </c>
      <c r="AA100" s="355"/>
      <c r="AB100" s="354">
        <v>0</v>
      </c>
      <c r="AC100" s="355">
        <v>0</v>
      </c>
      <c r="AD100" s="358">
        <v>390</v>
      </c>
      <c r="AE100" s="355">
        <v>0</v>
      </c>
      <c r="AF100" s="358">
        <v>0</v>
      </c>
      <c r="AG100" s="355">
        <v>0</v>
      </c>
      <c r="AH100" s="358">
        <v>330</v>
      </c>
      <c r="AI100" s="355"/>
      <c r="AJ100" s="358">
        <v>720</v>
      </c>
      <c r="AK100" s="356">
        <v>0</v>
      </c>
      <c r="AL100" s="358">
        <v>720</v>
      </c>
      <c r="AM100" s="356">
        <v>0</v>
      </c>
      <c r="AO100" s="358">
        <v>0</v>
      </c>
      <c r="AP100" s="355">
        <v>0</v>
      </c>
      <c r="AQ100" s="358">
        <v>0</v>
      </c>
      <c r="AR100" s="355">
        <v>0</v>
      </c>
      <c r="AS100" s="358">
        <v>0</v>
      </c>
      <c r="AT100" s="355"/>
      <c r="AU100" s="358">
        <v>0</v>
      </c>
      <c r="AV100" s="356">
        <v>0</v>
      </c>
    </row>
    <row r="101" spans="2:48" x14ac:dyDescent="0.25">
      <c r="B101" s="359" t="s">
        <v>755</v>
      </c>
      <c r="C101" t="s">
        <v>898</v>
      </c>
      <c r="D101" t="s">
        <v>898</v>
      </c>
      <c r="E101" s="353">
        <v>0</v>
      </c>
      <c r="F101" s="354">
        <v>195</v>
      </c>
      <c r="G101" s="355">
        <v>0</v>
      </c>
      <c r="H101" s="356">
        <v>0</v>
      </c>
      <c r="I101" s="353">
        <v>126</v>
      </c>
      <c r="J101" s="354">
        <v>0</v>
      </c>
      <c r="K101" s="355">
        <v>0</v>
      </c>
      <c r="L101" s="356">
        <v>0</v>
      </c>
      <c r="M101" s="353">
        <v>165</v>
      </c>
      <c r="N101" s="354">
        <v>0</v>
      </c>
      <c r="O101" s="355"/>
      <c r="P101" s="356"/>
      <c r="Q101" s="353">
        <v>291</v>
      </c>
      <c r="R101" s="357">
        <v>195</v>
      </c>
      <c r="S101" s="355">
        <v>0</v>
      </c>
      <c r="T101" s="356">
        <v>0</v>
      </c>
      <c r="V101" s="358">
        <v>0</v>
      </c>
      <c r="W101" s="355">
        <v>0</v>
      </c>
      <c r="X101" s="358">
        <v>0</v>
      </c>
      <c r="Y101" s="355">
        <v>0</v>
      </c>
      <c r="Z101" s="358">
        <v>0</v>
      </c>
      <c r="AA101" s="355"/>
      <c r="AB101" s="354">
        <v>0</v>
      </c>
      <c r="AC101" s="355">
        <v>0</v>
      </c>
      <c r="AD101" s="358">
        <v>0</v>
      </c>
      <c r="AE101" s="355">
        <v>0</v>
      </c>
      <c r="AF101" s="358">
        <v>0</v>
      </c>
      <c r="AG101" s="355">
        <v>0</v>
      </c>
      <c r="AH101" s="358">
        <v>0</v>
      </c>
      <c r="AI101" s="355"/>
      <c r="AJ101" s="358">
        <v>0</v>
      </c>
      <c r="AK101" s="356">
        <v>0</v>
      </c>
      <c r="AL101" s="358">
        <v>0</v>
      </c>
      <c r="AM101" s="356">
        <v>0</v>
      </c>
      <c r="AO101" s="358">
        <v>126</v>
      </c>
      <c r="AP101" s="355">
        <v>0</v>
      </c>
      <c r="AQ101" s="358">
        <v>165</v>
      </c>
      <c r="AR101" s="355">
        <v>0</v>
      </c>
      <c r="AS101" s="358">
        <v>165</v>
      </c>
      <c r="AT101" s="355"/>
      <c r="AU101" s="358">
        <v>456</v>
      </c>
      <c r="AV101" s="356">
        <v>0</v>
      </c>
    </row>
    <row r="102" spans="2:48" x14ac:dyDescent="0.25">
      <c r="B102" s="359" t="s">
        <v>754</v>
      </c>
      <c r="C102" t="s">
        <v>899</v>
      </c>
      <c r="D102" t="s">
        <v>899</v>
      </c>
      <c r="E102" s="353">
        <v>195</v>
      </c>
      <c r="F102" s="354">
        <v>195</v>
      </c>
      <c r="G102" s="355">
        <v>0</v>
      </c>
      <c r="H102" s="356">
        <v>0</v>
      </c>
      <c r="I102" s="353">
        <v>420</v>
      </c>
      <c r="J102" s="354">
        <v>420</v>
      </c>
      <c r="K102" s="355">
        <v>0</v>
      </c>
      <c r="L102" s="356">
        <v>0</v>
      </c>
      <c r="M102" s="353">
        <v>0</v>
      </c>
      <c r="N102" s="354">
        <v>0</v>
      </c>
      <c r="O102" s="355"/>
      <c r="P102" s="356"/>
      <c r="Q102" s="353">
        <v>615</v>
      </c>
      <c r="R102" s="357">
        <v>615</v>
      </c>
      <c r="S102" s="355">
        <v>0</v>
      </c>
      <c r="T102" s="356">
        <v>0</v>
      </c>
      <c r="V102" s="358">
        <v>0</v>
      </c>
      <c r="W102" s="355">
        <v>0</v>
      </c>
      <c r="X102" s="358">
        <v>420</v>
      </c>
      <c r="Y102" s="355">
        <v>0</v>
      </c>
      <c r="Z102" s="358">
        <v>0</v>
      </c>
      <c r="AA102" s="355"/>
      <c r="AB102" s="354">
        <v>420</v>
      </c>
      <c r="AC102" s="355">
        <v>0</v>
      </c>
      <c r="AD102" s="358">
        <v>390</v>
      </c>
      <c r="AE102" s="355">
        <v>0</v>
      </c>
      <c r="AF102" s="358">
        <v>420</v>
      </c>
      <c r="AG102" s="355">
        <v>0</v>
      </c>
      <c r="AH102" s="358">
        <v>0</v>
      </c>
      <c r="AI102" s="355"/>
      <c r="AJ102" s="358">
        <v>810</v>
      </c>
      <c r="AK102" s="356">
        <v>0</v>
      </c>
      <c r="AL102" s="358">
        <v>1230</v>
      </c>
      <c r="AM102" s="356">
        <v>0</v>
      </c>
      <c r="AO102" s="358">
        <v>0</v>
      </c>
      <c r="AP102" s="355">
        <v>0</v>
      </c>
      <c r="AQ102" s="358">
        <v>0</v>
      </c>
      <c r="AR102" s="355">
        <v>0</v>
      </c>
      <c r="AS102" s="358">
        <v>0</v>
      </c>
      <c r="AT102" s="355"/>
      <c r="AU102" s="358">
        <v>0</v>
      </c>
      <c r="AV102" s="356">
        <v>0</v>
      </c>
    </row>
    <row r="103" spans="2:48" x14ac:dyDescent="0.25">
      <c r="B103" s="359" t="s">
        <v>390</v>
      </c>
      <c r="C103">
        <v>639307</v>
      </c>
      <c r="D103" t="s">
        <v>900</v>
      </c>
      <c r="E103" s="353">
        <v>195</v>
      </c>
      <c r="F103" s="354">
        <v>136.5</v>
      </c>
      <c r="G103" s="355">
        <v>0</v>
      </c>
      <c r="H103" s="356">
        <v>0</v>
      </c>
      <c r="I103" s="353">
        <v>210</v>
      </c>
      <c r="J103" s="354">
        <v>147</v>
      </c>
      <c r="K103" s="355">
        <v>0</v>
      </c>
      <c r="L103" s="356">
        <v>0</v>
      </c>
      <c r="M103" s="353">
        <v>0</v>
      </c>
      <c r="N103" s="354">
        <v>0</v>
      </c>
      <c r="O103" s="355"/>
      <c r="P103" s="356"/>
      <c r="Q103" s="353">
        <v>405</v>
      </c>
      <c r="R103" s="357">
        <v>283.5</v>
      </c>
      <c r="S103" s="355">
        <v>0</v>
      </c>
      <c r="T103" s="356">
        <v>0</v>
      </c>
      <c r="V103" s="358">
        <v>0</v>
      </c>
      <c r="W103" s="355">
        <v>0</v>
      </c>
      <c r="X103" s="358">
        <v>0</v>
      </c>
      <c r="Y103" s="355">
        <v>0</v>
      </c>
      <c r="Z103" s="358">
        <v>0</v>
      </c>
      <c r="AA103" s="355"/>
      <c r="AB103" s="354">
        <v>0</v>
      </c>
      <c r="AC103" s="355">
        <v>0</v>
      </c>
      <c r="AD103" s="358">
        <v>0</v>
      </c>
      <c r="AE103" s="355">
        <v>0</v>
      </c>
      <c r="AF103" s="358">
        <v>0</v>
      </c>
      <c r="AG103" s="355">
        <v>0</v>
      </c>
      <c r="AH103" s="358">
        <v>0</v>
      </c>
      <c r="AI103" s="355"/>
      <c r="AJ103" s="358">
        <v>0</v>
      </c>
      <c r="AK103" s="356">
        <v>0</v>
      </c>
      <c r="AL103" s="358">
        <v>0</v>
      </c>
      <c r="AM103" s="356">
        <v>0</v>
      </c>
      <c r="AO103" s="358">
        <v>0</v>
      </c>
      <c r="AP103" s="355">
        <v>0</v>
      </c>
      <c r="AQ103" s="358">
        <v>0</v>
      </c>
      <c r="AR103" s="355">
        <v>0</v>
      </c>
      <c r="AS103" s="358">
        <v>0</v>
      </c>
      <c r="AT103" s="355"/>
      <c r="AU103" s="358">
        <v>0</v>
      </c>
      <c r="AV103" s="356">
        <v>0</v>
      </c>
    </row>
    <row r="104" spans="2:48" x14ac:dyDescent="0.25">
      <c r="B104" s="359" t="s">
        <v>391</v>
      </c>
      <c r="C104" t="s">
        <v>901</v>
      </c>
      <c r="D104" t="s">
        <v>901</v>
      </c>
      <c r="E104" s="353">
        <v>234</v>
      </c>
      <c r="F104" s="354">
        <v>390</v>
      </c>
      <c r="G104" s="355">
        <v>0</v>
      </c>
      <c r="H104" s="356">
        <v>0</v>
      </c>
      <c r="I104" s="353">
        <v>0</v>
      </c>
      <c r="J104" s="354">
        <v>0</v>
      </c>
      <c r="K104" s="355">
        <v>0</v>
      </c>
      <c r="L104" s="356">
        <v>0</v>
      </c>
      <c r="M104" s="353">
        <v>165</v>
      </c>
      <c r="N104" s="354">
        <v>165</v>
      </c>
      <c r="O104" s="355"/>
      <c r="P104" s="356"/>
      <c r="Q104" s="353">
        <v>399</v>
      </c>
      <c r="R104" s="357">
        <v>555</v>
      </c>
      <c r="S104" s="355">
        <v>0</v>
      </c>
      <c r="T104" s="356">
        <v>0</v>
      </c>
      <c r="V104" s="358">
        <v>0</v>
      </c>
      <c r="W104" s="355">
        <v>0</v>
      </c>
      <c r="X104" s="358">
        <v>0</v>
      </c>
      <c r="Y104" s="355">
        <v>0</v>
      </c>
      <c r="Z104" s="358">
        <v>0</v>
      </c>
      <c r="AA104" s="355"/>
      <c r="AB104" s="354">
        <v>0</v>
      </c>
      <c r="AC104" s="355">
        <v>0</v>
      </c>
      <c r="AD104" s="358">
        <v>0</v>
      </c>
      <c r="AE104" s="355">
        <v>0</v>
      </c>
      <c r="AF104" s="358">
        <v>0</v>
      </c>
      <c r="AG104" s="355">
        <v>0</v>
      </c>
      <c r="AH104" s="358">
        <v>0</v>
      </c>
      <c r="AI104" s="355"/>
      <c r="AJ104" s="358">
        <v>0</v>
      </c>
      <c r="AK104" s="356">
        <v>0</v>
      </c>
      <c r="AL104" s="358">
        <v>0</v>
      </c>
      <c r="AM104" s="356">
        <v>0</v>
      </c>
      <c r="AO104" s="358">
        <v>0</v>
      </c>
      <c r="AP104" s="355">
        <v>0</v>
      </c>
      <c r="AQ104" s="358">
        <v>0</v>
      </c>
      <c r="AR104" s="355">
        <v>0</v>
      </c>
      <c r="AS104" s="358">
        <v>0</v>
      </c>
      <c r="AT104" s="355"/>
      <c r="AU104" s="358">
        <v>0</v>
      </c>
      <c r="AV104" s="356">
        <v>0</v>
      </c>
    </row>
    <row r="105" spans="2:48" x14ac:dyDescent="0.25">
      <c r="B105" s="359" t="s">
        <v>392</v>
      </c>
      <c r="C105" t="s">
        <v>902</v>
      </c>
      <c r="D105" t="s">
        <v>902</v>
      </c>
      <c r="E105" s="353">
        <v>780</v>
      </c>
      <c r="F105" s="354">
        <v>585</v>
      </c>
      <c r="G105" s="355">
        <v>0</v>
      </c>
      <c r="H105" s="356">
        <v>0</v>
      </c>
      <c r="I105" s="353">
        <v>0</v>
      </c>
      <c r="J105" s="354">
        <v>0</v>
      </c>
      <c r="K105" s="355">
        <v>0</v>
      </c>
      <c r="L105" s="356">
        <v>0</v>
      </c>
      <c r="M105" s="353">
        <v>660</v>
      </c>
      <c r="N105" s="354">
        <v>495</v>
      </c>
      <c r="O105" s="355"/>
      <c r="P105" s="356"/>
      <c r="Q105" s="353">
        <v>1440</v>
      </c>
      <c r="R105" s="357">
        <v>1080</v>
      </c>
      <c r="S105" s="355">
        <v>0</v>
      </c>
      <c r="T105" s="356">
        <v>0</v>
      </c>
      <c r="V105" s="358">
        <v>585</v>
      </c>
      <c r="W105" s="355">
        <v>0</v>
      </c>
      <c r="X105" s="358">
        <v>0</v>
      </c>
      <c r="Y105" s="355">
        <v>0</v>
      </c>
      <c r="Z105" s="358">
        <v>495</v>
      </c>
      <c r="AA105" s="355"/>
      <c r="AB105" s="354">
        <v>1080</v>
      </c>
      <c r="AC105" s="355">
        <v>0</v>
      </c>
      <c r="AD105" s="358">
        <v>390</v>
      </c>
      <c r="AE105" s="355">
        <v>0</v>
      </c>
      <c r="AF105" s="358">
        <v>0</v>
      </c>
      <c r="AG105" s="355">
        <v>0</v>
      </c>
      <c r="AH105" s="358">
        <v>330</v>
      </c>
      <c r="AI105" s="355"/>
      <c r="AJ105" s="358">
        <v>720</v>
      </c>
      <c r="AK105" s="356">
        <v>0</v>
      </c>
      <c r="AL105" s="358">
        <v>1800</v>
      </c>
      <c r="AM105" s="356">
        <v>0</v>
      </c>
      <c r="AO105" s="358">
        <v>0</v>
      </c>
      <c r="AP105" s="355">
        <v>0</v>
      </c>
      <c r="AQ105" s="358">
        <v>0</v>
      </c>
      <c r="AR105" s="355">
        <v>0</v>
      </c>
      <c r="AS105" s="358">
        <v>0</v>
      </c>
      <c r="AT105" s="355"/>
      <c r="AU105" s="358">
        <v>0</v>
      </c>
      <c r="AV105" s="356">
        <v>0</v>
      </c>
    </row>
    <row r="106" spans="2:48" x14ac:dyDescent="0.25">
      <c r="B106" s="359" t="s">
        <v>393</v>
      </c>
      <c r="C106">
        <v>2559906</v>
      </c>
      <c r="D106" t="s">
        <v>903</v>
      </c>
      <c r="E106" s="353">
        <v>195</v>
      </c>
      <c r="F106" s="354">
        <v>0</v>
      </c>
      <c r="G106" s="355">
        <v>0</v>
      </c>
      <c r="H106" s="356">
        <v>0</v>
      </c>
      <c r="I106" s="353">
        <v>0</v>
      </c>
      <c r="J106" s="354">
        <v>0</v>
      </c>
      <c r="K106" s="355">
        <v>0</v>
      </c>
      <c r="L106" s="356">
        <v>0</v>
      </c>
      <c r="M106" s="353">
        <v>165</v>
      </c>
      <c r="N106" s="354">
        <v>0</v>
      </c>
      <c r="O106" s="355"/>
      <c r="P106" s="356"/>
      <c r="Q106" s="353">
        <v>360</v>
      </c>
      <c r="R106" s="357">
        <v>0</v>
      </c>
      <c r="S106" s="355">
        <v>0</v>
      </c>
      <c r="T106" s="356">
        <v>0</v>
      </c>
      <c r="V106" s="358">
        <v>0</v>
      </c>
      <c r="W106" s="355">
        <v>0</v>
      </c>
      <c r="X106" s="358">
        <v>0</v>
      </c>
      <c r="Y106" s="355">
        <v>0</v>
      </c>
      <c r="Z106" s="358">
        <v>0</v>
      </c>
      <c r="AA106" s="355"/>
      <c r="AB106" s="354">
        <v>0</v>
      </c>
      <c r="AC106" s="355">
        <v>0</v>
      </c>
      <c r="AD106" s="358">
        <v>195</v>
      </c>
      <c r="AE106" s="355">
        <v>0</v>
      </c>
      <c r="AF106" s="358">
        <v>0</v>
      </c>
      <c r="AG106" s="355">
        <v>0</v>
      </c>
      <c r="AH106" s="358">
        <v>165</v>
      </c>
      <c r="AI106" s="355"/>
      <c r="AJ106" s="358">
        <v>360</v>
      </c>
      <c r="AK106" s="356">
        <v>0</v>
      </c>
      <c r="AL106" s="358">
        <v>360</v>
      </c>
      <c r="AM106" s="356">
        <v>0</v>
      </c>
      <c r="AO106" s="358">
        <v>0</v>
      </c>
      <c r="AP106" s="355">
        <v>0</v>
      </c>
      <c r="AQ106" s="358">
        <v>0</v>
      </c>
      <c r="AR106" s="355">
        <v>0</v>
      </c>
      <c r="AS106" s="358">
        <v>0</v>
      </c>
      <c r="AT106" s="355"/>
      <c r="AU106" s="358">
        <v>0</v>
      </c>
      <c r="AV106" s="356">
        <v>0</v>
      </c>
    </row>
    <row r="107" spans="2:48" x14ac:dyDescent="0.25">
      <c r="B107" s="359" t="s">
        <v>904</v>
      </c>
      <c r="C107" t="s">
        <v>905</v>
      </c>
      <c r="D107" t="s">
        <v>905</v>
      </c>
      <c r="E107" s="353">
        <v>247</v>
      </c>
      <c r="F107" s="354">
        <v>39</v>
      </c>
      <c r="G107" s="355">
        <v>0</v>
      </c>
      <c r="H107" s="356">
        <v>0</v>
      </c>
      <c r="I107" s="353">
        <v>0</v>
      </c>
      <c r="J107" s="354">
        <v>0</v>
      </c>
      <c r="K107" s="355">
        <v>0</v>
      </c>
      <c r="L107" s="356">
        <v>0</v>
      </c>
      <c r="M107" s="353">
        <v>0</v>
      </c>
      <c r="N107" s="354">
        <v>132</v>
      </c>
      <c r="O107" s="355"/>
      <c r="P107" s="356"/>
      <c r="Q107" s="353">
        <v>247</v>
      </c>
      <c r="R107" s="357">
        <v>171</v>
      </c>
      <c r="S107" s="355">
        <v>0</v>
      </c>
      <c r="T107" s="356">
        <v>0</v>
      </c>
      <c r="V107" s="358">
        <v>0</v>
      </c>
      <c r="W107" s="355">
        <v>0</v>
      </c>
      <c r="X107" s="358">
        <v>0</v>
      </c>
      <c r="Y107" s="355">
        <v>0</v>
      </c>
      <c r="Z107" s="358">
        <v>0</v>
      </c>
      <c r="AA107" s="355"/>
      <c r="AB107" s="354">
        <v>0</v>
      </c>
      <c r="AC107" s="355">
        <v>0</v>
      </c>
      <c r="AD107" s="358">
        <v>0</v>
      </c>
      <c r="AE107" s="355">
        <v>0</v>
      </c>
      <c r="AF107" s="358">
        <v>0</v>
      </c>
      <c r="AG107" s="355">
        <v>0</v>
      </c>
      <c r="AH107" s="358">
        <v>0</v>
      </c>
      <c r="AI107" s="355"/>
      <c r="AJ107" s="358">
        <v>0</v>
      </c>
      <c r="AK107" s="356">
        <v>0</v>
      </c>
      <c r="AL107" s="358">
        <v>0</v>
      </c>
      <c r="AM107" s="356">
        <v>0</v>
      </c>
      <c r="AO107" s="358">
        <v>0</v>
      </c>
      <c r="AP107" s="355">
        <v>0</v>
      </c>
      <c r="AQ107" s="358">
        <v>0</v>
      </c>
      <c r="AR107" s="355">
        <v>0</v>
      </c>
      <c r="AS107" s="358">
        <v>0</v>
      </c>
      <c r="AT107" s="355"/>
      <c r="AU107" s="358">
        <v>0</v>
      </c>
      <c r="AV107" s="356">
        <v>0</v>
      </c>
    </row>
    <row r="108" spans="2:48" x14ac:dyDescent="0.25">
      <c r="B108" s="359" t="s">
        <v>1040</v>
      </c>
      <c r="C108" t="s">
        <v>1041</v>
      </c>
      <c r="D108" t="s">
        <v>1041</v>
      </c>
      <c r="E108" s="353">
        <v>195</v>
      </c>
      <c r="F108" s="354">
        <v>195</v>
      </c>
      <c r="G108" s="355">
        <v>0</v>
      </c>
      <c r="H108" s="356">
        <v>0</v>
      </c>
      <c r="I108" s="353">
        <v>210</v>
      </c>
      <c r="J108" s="354">
        <v>210</v>
      </c>
      <c r="K108" s="355">
        <v>0</v>
      </c>
      <c r="L108" s="356">
        <v>0</v>
      </c>
      <c r="M108" s="353">
        <v>0</v>
      </c>
      <c r="N108" s="354">
        <v>0</v>
      </c>
      <c r="O108" s="355"/>
      <c r="P108" s="356"/>
      <c r="Q108" s="353">
        <v>405</v>
      </c>
      <c r="R108" s="357">
        <v>405</v>
      </c>
      <c r="S108" s="355">
        <v>0</v>
      </c>
      <c r="T108" s="356">
        <v>0</v>
      </c>
      <c r="V108" s="358">
        <v>0</v>
      </c>
      <c r="W108" s="355">
        <v>0</v>
      </c>
      <c r="X108" s="358">
        <v>0</v>
      </c>
      <c r="Y108" s="355">
        <v>0</v>
      </c>
      <c r="Z108" s="358">
        <v>0</v>
      </c>
      <c r="AA108" s="355"/>
      <c r="AB108" s="354">
        <v>0</v>
      </c>
      <c r="AC108" s="355">
        <v>0</v>
      </c>
      <c r="AD108" s="358">
        <v>0</v>
      </c>
      <c r="AE108" s="355">
        <v>0</v>
      </c>
      <c r="AF108" s="358">
        <v>0</v>
      </c>
      <c r="AG108" s="355">
        <v>0</v>
      </c>
      <c r="AH108" s="358">
        <v>0</v>
      </c>
      <c r="AI108" s="355"/>
      <c r="AJ108" s="358">
        <v>0</v>
      </c>
      <c r="AK108" s="356">
        <v>0</v>
      </c>
      <c r="AL108" s="358">
        <v>0</v>
      </c>
      <c r="AM108" s="356">
        <v>0</v>
      </c>
      <c r="AO108" s="358">
        <v>0</v>
      </c>
      <c r="AP108" s="355">
        <v>0</v>
      </c>
      <c r="AQ108" s="358">
        <v>0</v>
      </c>
      <c r="AR108" s="355">
        <v>0</v>
      </c>
      <c r="AS108" s="358">
        <v>0</v>
      </c>
      <c r="AT108" s="355"/>
      <c r="AU108" s="358">
        <v>0</v>
      </c>
      <c r="AV108" s="356">
        <v>0</v>
      </c>
    </row>
    <row r="109" spans="2:48" x14ac:dyDescent="0.25">
      <c r="B109" s="359" t="s">
        <v>398</v>
      </c>
      <c r="C109" t="s">
        <v>397</v>
      </c>
      <c r="D109" t="s">
        <v>906</v>
      </c>
      <c r="E109" s="353">
        <v>390</v>
      </c>
      <c r="F109" s="354">
        <v>234</v>
      </c>
      <c r="G109" s="355">
        <v>0</v>
      </c>
      <c r="H109" s="356">
        <v>0</v>
      </c>
      <c r="I109" s="353">
        <v>0</v>
      </c>
      <c r="J109" s="354">
        <v>112</v>
      </c>
      <c r="K109" s="355">
        <v>0</v>
      </c>
      <c r="L109" s="356">
        <v>0</v>
      </c>
      <c r="M109" s="353">
        <v>330</v>
      </c>
      <c r="N109" s="354">
        <v>198</v>
      </c>
      <c r="O109" s="355"/>
      <c r="P109" s="356"/>
      <c r="Q109" s="353">
        <v>720</v>
      </c>
      <c r="R109" s="357">
        <v>544</v>
      </c>
      <c r="S109" s="355">
        <v>0</v>
      </c>
      <c r="T109" s="356">
        <v>0</v>
      </c>
      <c r="V109" s="358">
        <v>0</v>
      </c>
      <c r="W109" s="355">
        <v>0</v>
      </c>
      <c r="X109" s="358">
        <v>0</v>
      </c>
      <c r="Y109" s="355">
        <v>0</v>
      </c>
      <c r="Z109" s="358">
        <v>0</v>
      </c>
      <c r="AA109" s="355"/>
      <c r="AB109" s="354">
        <v>0</v>
      </c>
      <c r="AC109" s="355">
        <v>0</v>
      </c>
      <c r="AD109" s="358">
        <v>0</v>
      </c>
      <c r="AE109" s="355">
        <v>0</v>
      </c>
      <c r="AF109" s="358">
        <v>0</v>
      </c>
      <c r="AG109" s="355">
        <v>0</v>
      </c>
      <c r="AH109" s="358">
        <v>0</v>
      </c>
      <c r="AI109" s="355"/>
      <c r="AJ109" s="358">
        <v>0</v>
      </c>
      <c r="AK109" s="356">
        <v>0</v>
      </c>
      <c r="AL109" s="358">
        <v>0</v>
      </c>
      <c r="AM109" s="356">
        <v>0</v>
      </c>
      <c r="AO109" s="358">
        <v>0</v>
      </c>
      <c r="AP109" s="355">
        <v>0</v>
      </c>
      <c r="AQ109" s="358">
        <v>0</v>
      </c>
      <c r="AR109" s="355">
        <v>0</v>
      </c>
      <c r="AS109" s="358">
        <v>0</v>
      </c>
      <c r="AT109" s="355"/>
      <c r="AU109" s="358">
        <v>0</v>
      </c>
      <c r="AV109" s="356">
        <v>0</v>
      </c>
    </row>
    <row r="110" spans="2:48" x14ac:dyDescent="0.25">
      <c r="B110" s="359" t="s">
        <v>400</v>
      </c>
      <c r="C110" t="s">
        <v>399</v>
      </c>
      <c r="D110" t="s">
        <v>907</v>
      </c>
      <c r="E110" s="353">
        <v>0</v>
      </c>
      <c r="F110" s="354">
        <v>0</v>
      </c>
      <c r="G110" s="355">
        <v>0</v>
      </c>
      <c r="H110" s="356">
        <v>0</v>
      </c>
      <c r="I110" s="353">
        <v>0</v>
      </c>
      <c r="J110" s="354">
        <v>0</v>
      </c>
      <c r="K110" s="355">
        <v>0</v>
      </c>
      <c r="L110" s="356">
        <v>0</v>
      </c>
      <c r="M110" s="353">
        <v>0</v>
      </c>
      <c r="N110" s="354">
        <v>0</v>
      </c>
      <c r="O110" s="355"/>
      <c r="P110" s="356"/>
      <c r="Q110" s="353">
        <v>0</v>
      </c>
      <c r="R110" s="357">
        <v>0</v>
      </c>
      <c r="S110" s="355">
        <v>0</v>
      </c>
      <c r="T110" s="356">
        <v>0</v>
      </c>
      <c r="V110" s="358">
        <v>0</v>
      </c>
      <c r="W110" s="355">
        <v>0</v>
      </c>
      <c r="X110" s="358">
        <v>0</v>
      </c>
      <c r="Y110" s="355">
        <v>0</v>
      </c>
      <c r="Z110" s="358">
        <v>0</v>
      </c>
      <c r="AA110" s="355"/>
      <c r="AB110" s="354">
        <v>0</v>
      </c>
      <c r="AC110" s="355">
        <v>0</v>
      </c>
      <c r="AD110" s="358">
        <v>0</v>
      </c>
      <c r="AE110" s="355">
        <v>0</v>
      </c>
      <c r="AF110" s="358">
        <v>0</v>
      </c>
      <c r="AG110" s="355">
        <v>0</v>
      </c>
      <c r="AH110" s="358">
        <v>0</v>
      </c>
      <c r="AI110" s="355"/>
      <c r="AJ110" s="358">
        <v>0</v>
      </c>
      <c r="AK110" s="356">
        <v>0</v>
      </c>
      <c r="AL110" s="358">
        <v>0</v>
      </c>
      <c r="AM110" s="356">
        <v>0</v>
      </c>
      <c r="AO110" s="358">
        <v>0</v>
      </c>
      <c r="AP110" s="355">
        <v>0</v>
      </c>
      <c r="AQ110" s="358">
        <v>0</v>
      </c>
      <c r="AR110" s="355">
        <v>0</v>
      </c>
      <c r="AS110" s="358">
        <v>0</v>
      </c>
      <c r="AT110" s="355"/>
      <c r="AU110" s="358">
        <v>0</v>
      </c>
      <c r="AV110" s="356">
        <v>0</v>
      </c>
    </row>
    <row r="111" spans="2:48" x14ac:dyDescent="0.25">
      <c r="B111" s="359" t="s">
        <v>401</v>
      </c>
      <c r="C111">
        <v>205881</v>
      </c>
      <c r="D111" t="s">
        <v>908</v>
      </c>
      <c r="E111" s="353">
        <v>585</v>
      </c>
      <c r="F111" s="354">
        <v>260</v>
      </c>
      <c r="G111" s="355">
        <v>0</v>
      </c>
      <c r="H111" s="356">
        <v>0</v>
      </c>
      <c r="I111" s="353">
        <v>420</v>
      </c>
      <c r="J111" s="354">
        <v>112</v>
      </c>
      <c r="K111" s="355">
        <v>0</v>
      </c>
      <c r="L111" s="356">
        <v>0</v>
      </c>
      <c r="M111" s="353">
        <v>330</v>
      </c>
      <c r="N111" s="354">
        <v>220</v>
      </c>
      <c r="O111" s="355"/>
      <c r="P111" s="356"/>
      <c r="Q111" s="353">
        <v>1335</v>
      </c>
      <c r="R111" s="357">
        <v>592</v>
      </c>
      <c r="S111" s="355">
        <v>0</v>
      </c>
      <c r="T111" s="356">
        <v>0</v>
      </c>
      <c r="V111" s="358">
        <v>0</v>
      </c>
      <c r="W111" s="355">
        <v>0</v>
      </c>
      <c r="X111" s="358">
        <v>0</v>
      </c>
      <c r="Y111" s="355">
        <v>0</v>
      </c>
      <c r="Z111" s="358">
        <v>0</v>
      </c>
      <c r="AA111" s="355"/>
      <c r="AB111" s="354">
        <v>0</v>
      </c>
      <c r="AC111" s="355">
        <v>0</v>
      </c>
      <c r="AD111" s="358">
        <v>0</v>
      </c>
      <c r="AE111" s="355">
        <v>0</v>
      </c>
      <c r="AF111" s="358">
        <v>0</v>
      </c>
      <c r="AG111" s="355">
        <v>0</v>
      </c>
      <c r="AH111" s="358">
        <v>0</v>
      </c>
      <c r="AI111" s="355"/>
      <c r="AJ111" s="358">
        <v>0</v>
      </c>
      <c r="AK111" s="356">
        <v>0</v>
      </c>
      <c r="AL111" s="358">
        <v>0</v>
      </c>
      <c r="AM111" s="356">
        <v>0</v>
      </c>
      <c r="AO111" s="358">
        <v>0</v>
      </c>
      <c r="AP111" s="355">
        <v>0</v>
      </c>
      <c r="AQ111" s="358">
        <v>0</v>
      </c>
      <c r="AR111" s="355">
        <v>0</v>
      </c>
      <c r="AS111" s="358">
        <v>0</v>
      </c>
      <c r="AT111" s="355"/>
      <c r="AU111" s="358">
        <v>0</v>
      </c>
      <c r="AV111" s="356">
        <v>0</v>
      </c>
    </row>
    <row r="112" spans="2:48" x14ac:dyDescent="0.25">
      <c r="B112" s="359" t="s">
        <v>403</v>
      </c>
      <c r="C112" t="s">
        <v>402</v>
      </c>
      <c r="D112" t="s">
        <v>909</v>
      </c>
      <c r="E112" s="353">
        <v>585</v>
      </c>
      <c r="F112" s="354">
        <v>611</v>
      </c>
      <c r="G112" s="355">
        <v>0</v>
      </c>
      <c r="H112" s="356">
        <v>0</v>
      </c>
      <c r="I112" s="353">
        <v>420</v>
      </c>
      <c r="J112" s="354">
        <v>420</v>
      </c>
      <c r="K112" s="355">
        <v>0</v>
      </c>
      <c r="L112" s="356">
        <v>0</v>
      </c>
      <c r="M112" s="353">
        <v>495</v>
      </c>
      <c r="N112" s="354">
        <v>517</v>
      </c>
      <c r="O112" s="355"/>
      <c r="P112" s="356"/>
      <c r="Q112" s="353">
        <v>1500</v>
      </c>
      <c r="R112" s="357">
        <v>1548</v>
      </c>
      <c r="S112" s="355">
        <v>0</v>
      </c>
      <c r="T112" s="356">
        <v>0</v>
      </c>
      <c r="V112" s="358">
        <v>390</v>
      </c>
      <c r="W112" s="355">
        <v>0</v>
      </c>
      <c r="X112" s="358">
        <v>0</v>
      </c>
      <c r="Y112" s="355">
        <v>0</v>
      </c>
      <c r="Z112" s="358">
        <v>330</v>
      </c>
      <c r="AA112" s="355"/>
      <c r="AB112" s="354">
        <v>720</v>
      </c>
      <c r="AC112" s="355">
        <v>0</v>
      </c>
      <c r="AD112" s="358">
        <v>221</v>
      </c>
      <c r="AE112" s="355">
        <v>0</v>
      </c>
      <c r="AF112" s="358">
        <v>0</v>
      </c>
      <c r="AG112" s="355">
        <v>0</v>
      </c>
      <c r="AH112" s="358">
        <v>187</v>
      </c>
      <c r="AI112" s="355"/>
      <c r="AJ112" s="358">
        <v>408</v>
      </c>
      <c r="AK112" s="356">
        <v>0</v>
      </c>
      <c r="AL112" s="358">
        <v>1128</v>
      </c>
      <c r="AM112" s="356">
        <v>0</v>
      </c>
      <c r="AO112" s="358">
        <v>0</v>
      </c>
      <c r="AP112" s="355">
        <v>0</v>
      </c>
      <c r="AQ112" s="358">
        <v>0</v>
      </c>
      <c r="AR112" s="355">
        <v>0</v>
      </c>
      <c r="AS112" s="358">
        <v>0</v>
      </c>
      <c r="AT112" s="355"/>
      <c r="AU112" s="358">
        <v>0</v>
      </c>
      <c r="AV112" s="356">
        <v>0</v>
      </c>
    </row>
    <row r="113" spans="2:48" x14ac:dyDescent="0.25">
      <c r="B113" s="359" t="s">
        <v>405</v>
      </c>
      <c r="C113" t="s">
        <v>404</v>
      </c>
      <c r="D113" t="s">
        <v>910</v>
      </c>
      <c r="E113" s="353">
        <v>390</v>
      </c>
      <c r="F113" s="354">
        <v>546</v>
      </c>
      <c r="G113" s="355">
        <v>0</v>
      </c>
      <c r="H113" s="356">
        <v>0</v>
      </c>
      <c r="I113" s="353">
        <v>420</v>
      </c>
      <c r="J113" s="354">
        <v>420</v>
      </c>
      <c r="K113" s="355">
        <v>0</v>
      </c>
      <c r="L113" s="356">
        <v>0</v>
      </c>
      <c r="M113" s="353">
        <v>330</v>
      </c>
      <c r="N113" s="354">
        <v>462</v>
      </c>
      <c r="O113" s="355"/>
      <c r="P113" s="356"/>
      <c r="Q113" s="353">
        <v>1140</v>
      </c>
      <c r="R113" s="357">
        <v>1428</v>
      </c>
      <c r="S113" s="355">
        <v>0</v>
      </c>
      <c r="T113" s="356">
        <v>0</v>
      </c>
      <c r="V113" s="358">
        <v>0</v>
      </c>
      <c r="W113" s="355">
        <v>0</v>
      </c>
      <c r="X113" s="358">
        <v>0</v>
      </c>
      <c r="Y113" s="355">
        <v>0</v>
      </c>
      <c r="Z113" s="358">
        <v>0</v>
      </c>
      <c r="AA113" s="355"/>
      <c r="AB113" s="354">
        <v>0</v>
      </c>
      <c r="AC113" s="355">
        <v>0</v>
      </c>
      <c r="AD113" s="358">
        <v>0</v>
      </c>
      <c r="AE113" s="355">
        <v>0</v>
      </c>
      <c r="AF113" s="358">
        <v>0</v>
      </c>
      <c r="AG113" s="355">
        <v>0</v>
      </c>
      <c r="AH113" s="358">
        <v>0</v>
      </c>
      <c r="AI113" s="355"/>
      <c r="AJ113" s="358">
        <v>0</v>
      </c>
      <c r="AK113" s="356">
        <v>0</v>
      </c>
      <c r="AL113" s="358">
        <v>0</v>
      </c>
      <c r="AM113" s="356">
        <v>0</v>
      </c>
      <c r="AO113" s="358">
        <v>0</v>
      </c>
      <c r="AP113" s="355">
        <v>0</v>
      </c>
      <c r="AQ113" s="358">
        <v>0</v>
      </c>
      <c r="AR113" s="355">
        <v>0</v>
      </c>
      <c r="AS113" s="358">
        <v>0</v>
      </c>
      <c r="AT113" s="355"/>
      <c r="AU113" s="358">
        <v>0</v>
      </c>
      <c r="AV113" s="356">
        <v>0</v>
      </c>
    </row>
    <row r="114" spans="2:48" x14ac:dyDescent="0.25">
      <c r="B114" s="359" t="s">
        <v>407</v>
      </c>
      <c r="C114" t="s">
        <v>406</v>
      </c>
      <c r="D114" t="s">
        <v>911</v>
      </c>
      <c r="E114" s="353">
        <v>195</v>
      </c>
      <c r="F114" s="354">
        <v>117</v>
      </c>
      <c r="G114" s="355">
        <v>0</v>
      </c>
      <c r="H114" s="356">
        <v>0</v>
      </c>
      <c r="I114" s="353">
        <v>210</v>
      </c>
      <c r="J114" s="354">
        <v>112</v>
      </c>
      <c r="K114" s="355">
        <v>0</v>
      </c>
      <c r="L114" s="356">
        <v>0</v>
      </c>
      <c r="M114" s="353">
        <v>165</v>
      </c>
      <c r="N114" s="354">
        <v>99</v>
      </c>
      <c r="O114" s="355"/>
      <c r="P114" s="356"/>
      <c r="Q114" s="353">
        <v>570</v>
      </c>
      <c r="R114" s="357">
        <v>328</v>
      </c>
      <c r="S114" s="355">
        <v>0</v>
      </c>
      <c r="T114" s="356">
        <v>0</v>
      </c>
      <c r="V114" s="358">
        <v>0</v>
      </c>
      <c r="W114" s="355">
        <v>0</v>
      </c>
      <c r="X114" s="358">
        <v>0</v>
      </c>
      <c r="Y114" s="355">
        <v>0</v>
      </c>
      <c r="Z114" s="358">
        <v>0</v>
      </c>
      <c r="AA114" s="355"/>
      <c r="AB114" s="354">
        <v>0</v>
      </c>
      <c r="AC114" s="355">
        <v>0</v>
      </c>
      <c r="AD114" s="358">
        <v>0</v>
      </c>
      <c r="AE114" s="355">
        <v>0</v>
      </c>
      <c r="AF114" s="358">
        <v>322</v>
      </c>
      <c r="AG114" s="355">
        <v>0</v>
      </c>
      <c r="AH114" s="358">
        <v>0</v>
      </c>
      <c r="AI114" s="355"/>
      <c r="AJ114" s="358">
        <v>322</v>
      </c>
      <c r="AK114" s="356">
        <v>0</v>
      </c>
      <c r="AL114" s="358">
        <v>322</v>
      </c>
      <c r="AM114" s="356">
        <v>0</v>
      </c>
      <c r="AO114" s="358">
        <v>0</v>
      </c>
      <c r="AP114" s="355">
        <v>0</v>
      </c>
      <c r="AQ114" s="358">
        <v>0</v>
      </c>
      <c r="AR114" s="355">
        <v>0</v>
      </c>
      <c r="AS114" s="358">
        <v>0</v>
      </c>
      <c r="AT114" s="355"/>
      <c r="AU114" s="358">
        <v>0</v>
      </c>
      <c r="AV114" s="356">
        <v>0</v>
      </c>
    </row>
    <row r="115" spans="2:48" x14ac:dyDescent="0.25">
      <c r="B115" s="359" t="s">
        <v>408</v>
      </c>
      <c r="C115" t="s">
        <v>1335</v>
      </c>
      <c r="D115" t="s">
        <v>1335</v>
      </c>
      <c r="E115" s="353">
        <v>195</v>
      </c>
      <c r="F115" s="354">
        <v>195</v>
      </c>
      <c r="G115" s="355">
        <v>0</v>
      </c>
      <c r="H115" s="356">
        <v>0</v>
      </c>
      <c r="I115" s="353">
        <v>210</v>
      </c>
      <c r="J115" s="354">
        <v>210</v>
      </c>
      <c r="K115" s="355">
        <v>0</v>
      </c>
      <c r="L115" s="356">
        <v>0</v>
      </c>
      <c r="M115" s="353">
        <v>0</v>
      </c>
      <c r="N115" s="354">
        <v>0</v>
      </c>
      <c r="O115" s="355"/>
      <c r="P115" s="356"/>
      <c r="Q115" s="353">
        <v>405</v>
      </c>
      <c r="R115" s="357">
        <v>405</v>
      </c>
      <c r="S115" s="355">
        <v>0</v>
      </c>
      <c r="T115" s="356">
        <v>0</v>
      </c>
      <c r="V115" s="358">
        <v>0</v>
      </c>
      <c r="W115" s="355">
        <v>0</v>
      </c>
      <c r="X115" s="358">
        <v>0</v>
      </c>
      <c r="Y115" s="355">
        <v>0</v>
      </c>
      <c r="Z115" s="358">
        <v>0</v>
      </c>
      <c r="AA115" s="355"/>
      <c r="AB115" s="354">
        <v>0</v>
      </c>
      <c r="AC115" s="355">
        <v>0</v>
      </c>
      <c r="AD115" s="358">
        <v>0</v>
      </c>
      <c r="AE115" s="355">
        <v>0</v>
      </c>
      <c r="AF115" s="358">
        <v>0</v>
      </c>
      <c r="AG115" s="355">
        <v>0</v>
      </c>
      <c r="AH115" s="358">
        <v>0</v>
      </c>
      <c r="AI115" s="355"/>
      <c r="AJ115" s="358">
        <v>0</v>
      </c>
      <c r="AK115" s="356">
        <v>0</v>
      </c>
      <c r="AL115" s="358">
        <v>0</v>
      </c>
      <c r="AM115" s="356">
        <v>0</v>
      </c>
      <c r="AO115" s="358">
        <v>0</v>
      </c>
      <c r="AP115" s="355">
        <v>0</v>
      </c>
      <c r="AQ115" s="358">
        <v>0</v>
      </c>
      <c r="AR115" s="355">
        <v>0</v>
      </c>
      <c r="AS115" s="358">
        <v>0</v>
      </c>
      <c r="AT115" s="355"/>
      <c r="AU115" s="358">
        <v>0</v>
      </c>
      <c r="AV115" s="356">
        <v>0</v>
      </c>
    </row>
    <row r="116" spans="2:48" x14ac:dyDescent="0.25">
      <c r="B116" s="359" t="s">
        <v>410</v>
      </c>
      <c r="C116" t="s">
        <v>409</v>
      </c>
      <c r="D116" t="s">
        <v>912</v>
      </c>
      <c r="E116" s="353">
        <v>585</v>
      </c>
      <c r="F116" s="354">
        <v>507</v>
      </c>
      <c r="G116" s="355">
        <v>0</v>
      </c>
      <c r="H116" s="356">
        <v>0</v>
      </c>
      <c r="I116" s="353">
        <v>0</v>
      </c>
      <c r="J116" s="354">
        <v>0</v>
      </c>
      <c r="K116" s="355">
        <v>0</v>
      </c>
      <c r="L116" s="356">
        <v>0</v>
      </c>
      <c r="M116" s="353">
        <v>495</v>
      </c>
      <c r="N116" s="354">
        <v>429</v>
      </c>
      <c r="O116" s="355"/>
      <c r="P116" s="356"/>
      <c r="Q116" s="353">
        <v>1080</v>
      </c>
      <c r="R116" s="357">
        <v>936</v>
      </c>
      <c r="S116" s="355">
        <v>0</v>
      </c>
      <c r="T116" s="356">
        <v>0</v>
      </c>
      <c r="V116" s="358">
        <v>117</v>
      </c>
      <c r="W116" s="355">
        <v>0</v>
      </c>
      <c r="X116" s="358">
        <v>0</v>
      </c>
      <c r="Y116" s="355">
        <v>0</v>
      </c>
      <c r="Z116" s="358">
        <v>99</v>
      </c>
      <c r="AA116" s="355"/>
      <c r="AB116" s="354">
        <v>216</v>
      </c>
      <c r="AC116" s="355">
        <v>0</v>
      </c>
      <c r="AD116" s="358">
        <v>585</v>
      </c>
      <c r="AE116" s="355">
        <v>0</v>
      </c>
      <c r="AF116" s="358">
        <v>0</v>
      </c>
      <c r="AG116" s="355">
        <v>0</v>
      </c>
      <c r="AH116" s="358">
        <v>495</v>
      </c>
      <c r="AI116" s="355"/>
      <c r="AJ116" s="358">
        <v>1080</v>
      </c>
      <c r="AK116" s="356">
        <v>0</v>
      </c>
      <c r="AL116" s="358">
        <v>1296</v>
      </c>
      <c r="AM116" s="356">
        <v>0</v>
      </c>
      <c r="AO116" s="358">
        <v>0</v>
      </c>
      <c r="AP116" s="355">
        <v>0</v>
      </c>
      <c r="AQ116" s="358">
        <v>0</v>
      </c>
      <c r="AR116" s="355">
        <v>0</v>
      </c>
      <c r="AS116" s="358">
        <v>0</v>
      </c>
      <c r="AT116" s="355"/>
      <c r="AU116" s="358">
        <v>0</v>
      </c>
      <c r="AV116" s="356">
        <v>0</v>
      </c>
    </row>
    <row r="117" spans="2:48" x14ac:dyDescent="0.25">
      <c r="B117" s="359" t="s">
        <v>1023</v>
      </c>
      <c r="C117" t="s">
        <v>1336</v>
      </c>
      <c r="D117" t="s">
        <v>1336</v>
      </c>
      <c r="E117" s="353">
        <v>195</v>
      </c>
      <c r="F117" s="354">
        <v>195</v>
      </c>
      <c r="G117" s="355">
        <v>0</v>
      </c>
      <c r="H117" s="356">
        <v>0</v>
      </c>
      <c r="I117" s="353">
        <v>210</v>
      </c>
      <c r="J117" s="354">
        <v>210</v>
      </c>
      <c r="K117" s="355">
        <v>0</v>
      </c>
      <c r="L117" s="356">
        <v>0</v>
      </c>
      <c r="M117" s="353">
        <v>165</v>
      </c>
      <c r="N117" s="354">
        <v>165</v>
      </c>
      <c r="O117" s="355"/>
      <c r="P117" s="356"/>
      <c r="Q117" s="353">
        <v>570</v>
      </c>
      <c r="R117" s="357">
        <v>570</v>
      </c>
      <c r="S117" s="355">
        <v>0</v>
      </c>
      <c r="T117" s="356">
        <v>0</v>
      </c>
      <c r="V117" s="358">
        <v>0</v>
      </c>
      <c r="W117" s="355">
        <v>0</v>
      </c>
      <c r="X117" s="358">
        <v>0</v>
      </c>
      <c r="Y117" s="355">
        <v>0</v>
      </c>
      <c r="Z117" s="358">
        <v>0</v>
      </c>
      <c r="AA117" s="355"/>
      <c r="AB117" s="354">
        <v>0</v>
      </c>
      <c r="AC117" s="355">
        <v>0</v>
      </c>
      <c r="AD117" s="358">
        <v>0</v>
      </c>
      <c r="AE117" s="355">
        <v>0</v>
      </c>
      <c r="AF117" s="358">
        <v>0</v>
      </c>
      <c r="AG117" s="355">
        <v>0</v>
      </c>
      <c r="AH117" s="358">
        <v>0</v>
      </c>
      <c r="AI117" s="355"/>
      <c r="AJ117" s="358">
        <v>0</v>
      </c>
      <c r="AK117" s="356">
        <v>0</v>
      </c>
      <c r="AL117" s="358">
        <v>0</v>
      </c>
      <c r="AM117" s="356">
        <v>0</v>
      </c>
      <c r="AO117" s="358">
        <v>0</v>
      </c>
      <c r="AP117" s="355">
        <v>0</v>
      </c>
      <c r="AQ117" s="358">
        <v>0</v>
      </c>
      <c r="AR117" s="355">
        <v>0</v>
      </c>
      <c r="AS117" s="358">
        <v>0</v>
      </c>
      <c r="AT117" s="355"/>
      <c r="AU117" s="358">
        <v>0</v>
      </c>
      <c r="AV117" s="356">
        <v>0</v>
      </c>
    </row>
    <row r="118" spans="2:48" x14ac:dyDescent="0.25">
      <c r="B118" s="359" t="s">
        <v>1337</v>
      </c>
      <c r="C118" t="s">
        <v>1338</v>
      </c>
      <c r="D118" t="s">
        <v>1338</v>
      </c>
      <c r="E118" s="353">
        <v>0</v>
      </c>
      <c r="F118" s="354">
        <v>0</v>
      </c>
      <c r="G118" s="355">
        <v>0</v>
      </c>
      <c r="H118" s="356">
        <v>0</v>
      </c>
      <c r="I118" s="353">
        <v>0</v>
      </c>
      <c r="J118" s="354">
        <v>0</v>
      </c>
      <c r="K118" s="355">
        <v>0</v>
      </c>
      <c r="L118" s="356">
        <v>0</v>
      </c>
      <c r="M118" s="353">
        <v>0</v>
      </c>
      <c r="N118" s="354">
        <v>0</v>
      </c>
      <c r="O118" s="355"/>
      <c r="P118" s="356"/>
      <c r="Q118" s="353">
        <v>0</v>
      </c>
      <c r="R118" s="357">
        <v>0</v>
      </c>
      <c r="S118" s="355">
        <v>0</v>
      </c>
      <c r="T118" s="356">
        <v>0</v>
      </c>
      <c r="V118" s="358">
        <v>0</v>
      </c>
      <c r="W118" s="355">
        <v>0</v>
      </c>
      <c r="X118" s="358">
        <v>0</v>
      </c>
      <c r="Y118" s="355">
        <v>0</v>
      </c>
      <c r="Z118" s="358">
        <v>0</v>
      </c>
      <c r="AA118" s="355"/>
      <c r="AB118" s="354">
        <v>0</v>
      </c>
      <c r="AC118" s="355">
        <v>0</v>
      </c>
      <c r="AD118" s="358">
        <v>0</v>
      </c>
      <c r="AE118" s="355">
        <v>0</v>
      </c>
      <c r="AF118" s="358">
        <v>0</v>
      </c>
      <c r="AG118" s="355">
        <v>0</v>
      </c>
      <c r="AH118" s="358">
        <v>0</v>
      </c>
      <c r="AI118" s="355"/>
      <c r="AJ118" s="358">
        <v>0</v>
      </c>
      <c r="AK118" s="356">
        <v>0</v>
      </c>
      <c r="AL118" s="358">
        <v>0</v>
      </c>
      <c r="AM118" s="356">
        <v>0</v>
      </c>
      <c r="AO118" s="358">
        <v>0</v>
      </c>
      <c r="AP118" s="355">
        <v>0</v>
      </c>
      <c r="AQ118" s="358">
        <v>0</v>
      </c>
      <c r="AR118" s="355">
        <v>0</v>
      </c>
      <c r="AS118" s="358">
        <v>0</v>
      </c>
      <c r="AT118" s="355"/>
      <c r="AU118" s="358">
        <v>0</v>
      </c>
      <c r="AV118" s="356">
        <v>0</v>
      </c>
    </row>
    <row r="119" spans="2:48" x14ac:dyDescent="0.25">
      <c r="B119" s="359" t="s">
        <v>416</v>
      </c>
      <c r="C119" t="s">
        <v>913</v>
      </c>
      <c r="D119" t="s">
        <v>913</v>
      </c>
      <c r="E119" s="353">
        <v>390</v>
      </c>
      <c r="F119" s="354">
        <v>390</v>
      </c>
      <c r="G119" s="355">
        <v>0</v>
      </c>
      <c r="H119" s="356">
        <v>0</v>
      </c>
      <c r="I119" s="353">
        <v>210</v>
      </c>
      <c r="J119" s="354">
        <v>210</v>
      </c>
      <c r="K119" s="355">
        <v>0</v>
      </c>
      <c r="L119" s="356">
        <v>0</v>
      </c>
      <c r="M119" s="353">
        <v>330</v>
      </c>
      <c r="N119" s="354">
        <v>330</v>
      </c>
      <c r="O119" s="355"/>
      <c r="P119" s="356"/>
      <c r="Q119" s="353">
        <v>930</v>
      </c>
      <c r="R119" s="357">
        <v>930</v>
      </c>
      <c r="S119" s="355">
        <v>0</v>
      </c>
      <c r="T119" s="356">
        <v>0</v>
      </c>
      <c r="V119" s="358">
        <v>0</v>
      </c>
      <c r="W119" s="355">
        <v>0</v>
      </c>
      <c r="X119" s="358">
        <v>0</v>
      </c>
      <c r="Y119" s="355">
        <v>0</v>
      </c>
      <c r="Z119" s="358">
        <v>0</v>
      </c>
      <c r="AA119" s="355"/>
      <c r="AB119" s="354">
        <v>0</v>
      </c>
      <c r="AC119" s="355">
        <v>0</v>
      </c>
      <c r="AD119" s="358">
        <v>390</v>
      </c>
      <c r="AE119" s="355">
        <v>0</v>
      </c>
      <c r="AF119" s="358">
        <v>420</v>
      </c>
      <c r="AG119" s="355">
        <v>0</v>
      </c>
      <c r="AH119" s="358">
        <v>330</v>
      </c>
      <c r="AI119" s="355"/>
      <c r="AJ119" s="358">
        <v>1140</v>
      </c>
      <c r="AK119" s="356">
        <v>0</v>
      </c>
      <c r="AL119" s="358">
        <v>1140</v>
      </c>
      <c r="AM119" s="356">
        <v>0</v>
      </c>
      <c r="AO119" s="358">
        <v>0</v>
      </c>
      <c r="AP119" s="355">
        <v>0</v>
      </c>
      <c r="AQ119" s="358">
        <v>0</v>
      </c>
      <c r="AR119" s="355">
        <v>0</v>
      </c>
      <c r="AS119" s="358">
        <v>0</v>
      </c>
      <c r="AT119" s="355"/>
      <c r="AU119" s="358">
        <v>0</v>
      </c>
      <c r="AV119" s="356">
        <v>0</v>
      </c>
    </row>
    <row r="120" spans="2:48" x14ac:dyDescent="0.25">
      <c r="B120" s="359" t="s">
        <v>411</v>
      </c>
      <c r="C120" t="s">
        <v>1042</v>
      </c>
      <c r="D120" t="s">
        <v>1042</v>
      </c>
      <c r="E120" s="353">
        <v>195</v>
      </c>
      <c r="F120" s="354">
        <v>195</v>
      </c>
      <c r="G120" s="355">
        <v>0</v>
      </c>
      <c r="H120" s="356">
        <v>0</v>
      </c>
      <c r="I120" s="353">
        <v>420</v>
      </c>
      <c r="J120" s="354">
        <v>252</v>
      </c>
      <c r="K120" s="355">
        <v>0</v>
      </c>
      <c r="L120" s="356">
        <v>0</v>
      </c>
      <c r="M120" s="353">
        <v>165</v>
      </c>
      <c r="N120" s="354">
        <v>165</v>
      </c>
      <c r="O120" s="355"/>
      <c r="P120" s="356"/>
      <c r="Q120" s="353">
        <v>780</v>
      </c>
      <c r="R120" s="357">
        <v>612</v>
      </c>
      <c r="S120" s="355">
        <v>0</v>
      </c>
      <c r="T120" s="356">
        <v>0</v>
      </c>
      <c r="V120" s="358">
        <v>0</v>
      </c>
      <c r="W120" s="355">
        <v>0</v>
      </c>
      <c r="X120" s="358">
        <v>0</v>
      </c>
      <c r="Y120" s="355">
        <v>0</v>
      </c>
      <c r="Z120" s="358">
        <v>0</v>
      </c>
      <c r="AA120" s="355"/>
      <c r="AB120" s="354">
        <v>0</v>
      </c>
      <c r="AC120" s="355">
        <v>0</v>
      </c>
      <c r="AD120" s="358">
        <v>0</v>
      </c>
      <c r="AE120" s="355">
        <v>0</v>
      </c>
      <c r="AF120" s="358">
        <v>0</v>
      </c>
      <c r="AG120" s="355">
        <v>0</v>
      </c>
      <c r="AH120" s="358">
        <v>0</v>
      </c>
      <c r="AI120" s="355"/>
      <c r="AJ120" s="358">
        <v>0</v>
      </c>
      <c r="AK120" s="356">
        <v>0</v>
      </c>
      <c r="AL120" s="358">
        <v>0</v>
      </c>
      <c r="AM120" s="356">
        <v>0</v>
      </c>
      <c r="AO120" s="358">
        <v>0</v>
      </c>
      <c r="AP120" s="355">
        <v>0</v>
      </c>
      <c r="AQ120" s="358">
        <v>0</v>
      </c>
      <c r="AR120" s="355">
        <v>0</v>
      </c>
      <c r="AS120" s="358">
        <v>0</v>
      </c>
      <c r="AT120" s="355"/>
      <c r="AU120" s="358">
        <v>0</v>
      </c>
      <c r="AV120" s="356">
        <v>0</v>
      </c>
    </row>
    <row r="121" spans="2:48" x14ac:dyDescent="0.25">
      <c r="B121" s="359" t="s">
        <v>421</v>
      </c>
      <c r="C121">
        <v>205878</v>
      </c>
      <c r="D121" t="s">
        <v>914</v>
      </c>
      <c r="E121" s="353">
        <v>1170</v>
      </c>
      <c r="F121" s="354">
        <v>1248</v>
      </c>
      <c r="G121" s="355">
        <v>0</v>
      </c>
      <c r="H121" s="356">
        <v>0</v>
      </c>
      <c r="I121" s="353">
        <v>210</v>
      </c>
      <c r="J121" s="354">
        <v>210</v>
      </c>
      <c r="K121" s="355">
        <v>0</v>
      </c>
      <c r="L121" s="356">
        <v>0</v>
      </c>
      <c r="M121" s="353">
        <v>660</v>
      </c>
      <c r="N121" s="354">
        <v>1155</v>
      </c>
      <c r="O121" s="355"/>
      <c r="P121" s="356"/>
      <c r="Q121" s="353">
        <v>2040</v>
      </c>
      <c r="R121" s="357">
        <v>2613</v>
      </c>
      <c r="S121" s="355">
        <v>0</v>
      </c>
      <c r="T121" s="356">
        <v>0</v>
      </c>
      <c r="V121" s="358">
        <v>468</v>
      </c>
      <c r="W121" s="355">
        <v>0</v>
      </c>
      <c r="X121" s="358">
        <v>210</v>
      </c>
      <c r="Y121" s="355">
        <v>0</v>
      </c>
      <c r="Z121" s="358">
        <v>165</v>
      </c>
      <c r="AA121" s="355"/>
      <c r="AB121" s="354">
        <v>843</v>
      </c>
      <c r="AC121" s="355">
        <v>0</v>
      </c>
      <c r="AD121" s="358">
        <v>975</v>
      </c>
      <c r="AE121" s="355">
        <v>0</v>
      </c>
      <c r="AF121" s="358">
        <v>210</v>
      </c>
      <c r="AG121" s="355">
        <v>0</v>
      </c>
      <c r="AH121" s="358">
        <v>825</v>
      </c>
      <c r="AI121" s="355"/>
      <c r="AJ121" s="358">
        <v>2010</v>
      </c>
      <c r="AK121" s="356">
        <v>0</v>
      </c>
      <c r="AL121" s="358">
        <v>2853</v>
      </c>
      <c r="AM121" s="356">
        <v>0</v>
      </c>
      <c r="AO121" s="358">
        <v>0</v>
      </c>
      <c r="AP121" s="355">
        <v>0</v>
      </c>
      <c r="AQ121" s="358">
        <v>0</v>
      </c>
      <c r="AR121" s="355">
        <v>0</v>
      </c>
      <c r="AS121" s="358">
        <v>0</v>
      </c>
      <c r="AT121" s="355"/>
      <c r="AU121" s="358">
        <v>0</v>
      </c>
      <c r="AV121" s="356">
        <v>0</v>
      </c>
    </row>
    <row r="122" spans="2:48" x14ac:dyDescent="0.25">
      <c r="B122" s="359" t="s">
        <v>915</v>
      </c>
      <c r="C122" t="s">
        <v>916</v>
      </c>
      <c r="D122" t="s">
        <v>916</v>
      </c>
      <c r="E122" s="353">
        <v>390</v>
      </c>
      <c r="F122" s="354">
        <v>390</v>
      </c>
      <c r="G122" s="355">
        <v>0</v>
      </c>
      <c r="H122" s="356">
        <v>0</v>
      </c>
      <c r="I122" s="353">
        <v>0</v>
      </c>
      <c r="J122" s="354">
        <v>0</v>
      </c>
      <c r="K122" s="355">
        <v>0</v>
      </c>
      <c r="L122" s="356">
        <v>0</v>
      </c>
      <c r="M122" s="353">
        <v>330</v>
      </c>
      <c r="N122" s="354">
        <v>308</v>
      </c>
      <c r="O122" s="355"/>
      <c r="P122" s="356"/>
      <c r="Q122" s="353">
        <v>720</v>
      </c>
      <c r="R122" s="357">
        <v>698</v>
      </c>
      <c r="S122" s="355">
        <v>0</v>
      </c>
      <c r="T122" s="356">
        <v>0</v>
      </c>
      <c r="V122" s="358">
        <v>390</v>
      </c>
      <c r="W122" s="355">
        <v>0</v>
      </c>
      <c r="X122" s="358">
        <v>0</v>
      </c>
      <c r="Y122" s="355">
        <v>0</v>
      </c>
      <c r="Z122" s="358">
        <v>308</v>
      </c>
      <c r="AA122" s="355"/>
      <c r="AB122" s="354">
        <v>698</v>
      </c>
      <c r="AC122" s="355">
        <v>0</v>
      </c>
      <c r="AD122" s="358">
        <v>0</v>
      </c>
      <c r="AE122" s="355">
        <v>0</v>
      </c>
      <c r="AF122" s="358">
        <v>0</v>
      </c>
      <c r="AG122" s="355">
        <v>0</v>
      </c>
      <c r="AH122" s="358">
        <v>0</v>
      </c>
      <c r="AI122" s="355"/>
      <c r="AJ122" s="358">
        <v>0</v>
      </c>
      <c r="AK122" s="356">
        <v>0</v>
      </c>
      <c r="AL122" s="358">
        <v>698</v>
      </c>
      <c r="AM122" s="356">
        <v>0</v>
      </c>
      <c r="AO122" s="358">
        <v>0</v>
      </c>
      <c r="AP122" s="355">
        <v>0</v>
      </c>
      <c r="AQ122" s="358">
        <v>0</v>
      </c>
      <c r="AR122" s="355">
        <v>0</v>
      </c>
      <c r="AS122" s="358">
        <v>0</v>
      </c>
      <c r="AT122" s="355"/>
      <c r="AU122" s="358">
        <v>0</v>
      </c>
      <c r="AV122" s="356">
        <v>0</v>
      </c>
    </row>
    <row r="123" spans="2:48" x14ac:dyDescent="0.25">
      <c r="B123" s="359" t="s">
        <v>917</v>
      </c>
      <c r="C123" t="s">
        <v>918</v>
      </c>
      <c r="D123" t="s">
        <v>918</v>
      </c>
      <c r="E123" s="353">
        <v>390</v>
      </c>
      <c r="F123" s="354">
        <v>390</v>
      </c>
      <c r="G123" s="355">
        <v>0</v>
      </c>
      <c r="H123" s="356">
        <v>0</v>
      </c>
      <c r="I123" s="353">
        <v>0</v>
      </c>
      <c r="J123" s="354">
        <v>0</v>
      </c>
      <c r="K123" s="355">
        <v>0</v>
      </c>
      <c r="L123" s="356">
        <v>0</v>
      </c>
      <c r="M123" s="353">
        <v>330</v>
      </c>
      <c r="N123" s="354">
        <v>330</v>
      </c>
      <c r="O123" s="355"/>
      <c r="P123" s="356"/>
      <c r="Q123" s="353">
        <v>720</v>
      </c>
      <c r="R123" s="357">
        <v>720</v>
      </c>
      <c r="S123" s="355">
        <v>0</v>
      </c>
      <c r="T123" s="356">
        <v>0</v>
      </c>
      <c r="V123" s="358">
        <v>0</v>
      </c>
      <c r="W123" s="355">
        <v>0</v>
      </c>
      <c r="X123" s="358">
        <v>0</v>
      </c>
      <c r="Y123" s="355">
        <v>0</v>
      </c>
      <c r="Z123" s="358">
        <v>0</v>
      </c>
      <c r="AA123" s="355"/>
      <c r="AB123" s="354">
        <v>0</v>
      </c>
      <c r="AC123" s="355">
        <v>0</v>
      </c>
      <c r="AD123" s="358">
        <v>390</v>
      </c>
      <c r="AE123" s="355">
        <v>0</v>
      </c>
      <c r="AF123" s="358">
        <v>0</v>
      </c>
      <c r="AG123" s="355">
        <v>0</v>
      </c>
      <c r="AH123" s="358">
        <v>330</v>
      </c>
      <c r="AI123" s="355"/>
      <c r="AJ123" s="358">
        <v>720</v>
      </c>
      <c r="AK123" s="356">
        <v>0</v>
      </c>
      <c r="AL123" s="358">
        <v>720</v>
      </c>
      <c r="AM123" s="356">
        <v>0</v>
      </c>
      <c r="AO123" s="358">
        <v>0</v>
      </c>
      <c r="AP123" s="355">
        <v>0</v>
      </c>
      <c r="AQ123" s="358">
        <v>0</v>
      </c>
      <c r="AR123" s="355">
        <v>0</v>
      </c>
      <c r="AS123" s="358">
        <v>0</v>
      </c>
      <c r="AT123" s="355"/>
      <c r="AU123" s="358">
        <v>0</v>
      </c>
      <c r="AV123" s="356">
        <v>0</v>
      </c>
    </row>
    <row r="124" spans="2:48" x14ac:dyDescent="0.25">
      <c r="B124" s="359" t="s">
        <v>423</v>
      </c>
      <c r="C124" t="s">
        <v>422</v>
      </c>
      <c r="D124" t="s">
        <v>919</v>
      </c>
      <c r="E124" s="353">
        <v>195</v>
      </c>
      <c r="F124" s="354">
        <v>195</v>
      </c>
      <c r="G124" s="355">
        <v>0</v>
      </c>
      <c r="H124" s="356">
        <v>0</v>
      </c>
      <c r="I124" s="353">
        <v>0</v>
      </c>
      <c r="J124" s="354">
        <v>0</v>
      </c>
      <c r="K124" s="355">
        <v>0</v>
      </c>
      <c r="L124" s="356">
        <v>0</v>
      </c>
      <c r="M124" s="353">
        <v>165</v>
      </c>
      <c r="N124" s="354">
        <v>165</v>
      </c>
      <c r="O124" s="355"/>
      <c r="P124" s="356"/>
      <c r="Q124" s="353">
        <v>360</v>
      </c>
      <c r="R124" s="357">
        <v>360</v>
      </c>
      <c r="S124" s="355">
        <v>0</v>
      </c>
      <c r="T124" s="356">
        <v>0</v>
      </c>
      <c r="V124" s="358">
        <v>0</v>
      </c>
      <c r="W124" s="355">
        <v>0</v>
      </c>
      <c r="X124" s="358">
        <v>0</v>
      </c>
      <c r="Y124" s="355">
        <v>0</v>
      </c>
      <c r="Z124" s="358">
        <v>0</v>
      </c>
      <c r="AA124" s="355"/>
      <c r="AB124" s="354">
        <v>0</v>
      </c>
      <c r="AC124" s="355">
        <v>0</v>
      </c>
      <c r="AD124" s="358">
        <v>0</v>
      </c>
      <c r="AE124" s="355">
        <v>0</v>
      </c>
      <c r="AF124" s="358">
        <v>0</v>
      </c>
      <c r="AG124" s="355">
        <v>0</v>
      </c>
      <c r="AH124" s="358">
        <v>0</v>
      </c>
      <c r="AI124" s="355"/>
      <c r="AJ124" s="358">
        <v>0</v>
      </c>
      <c r="AK124" s="356">
        <v>0</v>
      </c>
      <c r="AL124" s="358">
        <v>0</v>
      </c>
      <c r="AM124" s="356">
        <v>0</v>
      </c>
      <c r="AO124" s="358">
        <v>0</v>
      </c>
      <c r="AP124" s="355">
        <v>0</v>
      </c>
      <c r="AQ124" s="358">
        <v>0</v>
      </c>
      <c r="AR124" s="355">
        <v>0</v>
      </c>
      <c r="AS124" s="358">
        <v>0</v>
      </c>
      <c r="AT124" s="355"/>
      <c r="AU124" s="358">
        <v>0</v>
      </c>
      <c r="AV124" s="356">
        <v>0</v>
      </c>
    </row>
    <row r="125" spans="2:48" x14ac:dyDescent="0.25">
      <c r="B125" s="359" t="s">
        <v>425</v>
      </c>
      <c r="C125" t="s">
        <v>424</v>
      </c>
      <c r="D125" t="s">
        <v>920</v>
      </c>
      <c r="E125" s="353">
        <v>390</v>
      </c>
      <c r="F125" s="354">
        <v>312</v>
      </c>
      <c r="G125" s="355">
        <v>0</v>
      </c>
      <c r="H125" s="356">
        <v>0</v>
      </c>
      <c r="I125" s="353">
        <v>210</v>
      </c>
      <c r="J125" s="354">
        <v>126</v>
      </c>
      <c r="K125" s="355">
        <v>0</v>
      </c>
      <c r="L125" s="356">
        <v>0</v>
      </c>
      <c r="M125" s="353">
        <v>330</v>
      </c>
      <c r="N125" s="354">
        <v>264</v>
      </c>
      <c r="O125" s="355"/>
      <c r="P125" s="356"/>
      <c r="Q125" s="353">
        <v>930</v>
      </c>
      <c r="R125" s="357">
        <v>702</v>
      </c>
      <c r="S125" s="355">
        <v>0</v>
      </c>
      <c r="T125" s="356">
        <v>0</v>
      </c>
      <c r="V125" s="358">
        <v>0</v>
      </c>
      <c r="W125" s="355">
        <v>0</v>
      </c>
      <c r="X125" s="358">
        <v>0</v>
      </c>
      <c r="Y125" s="355">
        <v>0</v>
      </c>
      <c r="Z125" s="358">
        <v>0</v>
      </c>
      <c r="AA125" s="355"/>
      <c r="AB125" s="354">
        <v>0</v>
      </c>
      <c r="AC125" s="355">
        <v>0</v>
      </c>
      <c r="AD125" s="358">
        <v>390</v>
      </c>
      <c r="AE125" s="355">
        <v>0</v>
      </c>
      <c r="AF125" s="358">
        <v>0</v>
      </c>
      <c r="AG125" s="355">
        <v>0</v>
      </c>
      <c r="AH125" s="358">
        <v>330</v>
      </c>
      <c r="AI125" s="355"/>
      <c r="AJ125" s="358">
        <v>720</v>
      </c>
      <c r="AK125" s="356">
        <v>0</v>
      </c>
      <c r="AL125" s="358">
        <v>720</v>
      </c>
      <c r="AM125" s="356">
        <v>0</v>
      </c>
      <c r="AO125" s="358">
        <v>0</v>
      </c>
      <c r="AP125" s="355">
        <v>0</v>
      </c>
      <c r="AQ125" s="358">
        <v>0</v>
      </c>
      <c r="AR125" s="355">
        <v>0</v>
      </c>
      <c r="AS125" s="358">
        <v>0</v>
      </c>
      <c r="AT125" s="355"/>
      <c r="AU125" s="358">
        <v>0</v>
      </c>
      <c r="AV125" s="356">
        <v>0</v>
      </c>
    </row>
    <row r="126" spans="2:48" x14ac:dyDescent="0.25">
      <c r="B126" s="359" t="s">
        <v>426</v>
      </c>
      <c r="C126" t="s">
        <v>921</v>
      </c>
      <c r="D126" t="s">
        <v>921</v>
      </c>
      <c r="E126" s="353">
        <v>234</v>
      </c>
      <c r="F126" s="354">
        <v>390</v>
      </c>
      <c r="G126" s="355">
        <v>0</v>
      </c>
      <c r="H126" s="356">
        <v>0</v>
      </c>
      <c r="I126" s="353">
        <v>210</v>
      </c>
      <c r="J126" s="354">
        <v>42</v>
      </c>
      <c r="K126" s="355">
        <v>0</v>
      </c>
      <c r="L126" s="356">
        <v>0</v>
      </c>
      <c r="M126" s="353">
        <v>198</v>
      </c>
      <c r="N126" s="354">
        <v>330</v>
      </c>
      <c r="O126" s="355"/>
      <c r="P126" s="356"/>
      <c r="Q126" s="353">
        <v>642</v>
      </c>
      <c r="R126" s="357">
        <v>762</v>
      </c>
      <c r="S126" s="355">
        <v>0</v>
      </c>
      <c r="T126" s="356">
        <v>0</v>
      </c>
      <c r="V126" s="358">
        <v>0</v>
      </c>
      <c r="W126" s="355">
        <v>0</v>
      </c>
      <c r="X126" s="358">
        <v>0</v>
      </c>
      <c r="Y126" s="355">
        <v>0</v>
      </c>
      <c r="Z126" s="358">
        <v>0</v>
      </c>
      <c r="AA126" s="355"/>
      <c r="AB126" s="354">
        <v>0</v>
      </c>
      <c r="AC126" s="355">
        <v>0</v>
      </c>
      <c r="AD126" s="358">
        <v>0</v>
      </c>
      <c r="AE126" s="355">
        <v>0</v>
      </c>
      <c r="AF126" s="358">
        <v>0</v>
      </c>
      <c r="AG126" s="355">
        <v>0</v>
      </c>
      <c r="AH126" s="358">
        <v>0</v>
      </c>
      <c r="AI126" s="355"/>
      <c r="AJ126" s="358">
        <v>0</v>
      </c>
      <c r="AK126" s="356">
        <v>0</v>
      </c>
      <c r="AL126" s="358">
        <v>0</v>
      </c>
      <c r="AM126" s="356">
        <v>0</v>
      </c>
      <c r="AO126" s="358">
        <v>0</v>
      </c>
      <c r="AP126" s="355">
        <v>0</v>
      </c>
      <c r="AQ126" s="358">
        <v>0</v>
      </c>
      <c r="AR126" s="355">
        <v>0</v>
      </c>
      <c r="AS126" s="358">
        <v>0</v>
      </c>
      <c r="AT126" s="355"/>
      <c r="AU126" s="358">
        <v>0</v>
      </c>
      <c r="AV126" s="356">
        <v>0</v>
      </c>
    </row>
    <row r="127" spans="2:48" x14ac:dyDescent="0.25">
      <c r="B127" s="359" t="s">
        <v>427</v>
      </c>
      <c r="C127" t="s">
        <v>679</v>
      </c>
      <c r="D127" t="s">
        <v>679</v>
      </c>
      <c r="E127" s="353">
        <v>390</v>
      </c>
      <c r="F127" s="354">
        <v>195</v>
      </c>
      <c r="G127" s="355">
        <v>0</v>
      </c>
      <c r="H127" s="356">
        <v>0</v>
      </c>
      <c r="I127" s="353">
        <v>0</v>
      </c>
      <c r="J127" s="354">
        <v>0</v>
      </c>
      <c r="K127" s="355">
        <v>0</v>
      </c>
      <c r="L127" s="356">
        <v>0</v>
      </c>
      <c r="M127" s="353">
        <v>330</v>
      </c>
      <c r="N127" s="354">
        <v>165</v>
      </c>
      <c r="O127" s="355"/>
      <c r="P127" s="356"/>
      <c r="Q127" s="353">
        <v>720</v>
      </c>
      <c r="R127" s="357">
        <v>360</v>
      </c>
      <c r="S127" s="355">
        <v>0</v>
      </c>
      <c r="T127" s="356">
        <v>0</v>
      </c>
      <c r="V127" s="358">
        <v>0</v>
      </c>
      <c r="W127" s="355">
        <v>0</v>
      </c>
      <c r="X127" s="358">
        <v>0</v>
      </c>
      <c r="Y127" s="355">
        <v>0</v>
      </c>
      <c r="Z127" s="358">
        <v>0</v>
      </c>
      <c r="AA127" s="355"/>
      <c r="AB127" s="354">
        <v>0</v>
      </c>
      <c r="AC127" s="355">
        <v>0</v>
      </c>
      <c r="AD127" s="358">
        <v>0</v>
      </c>
      <c r="AE127" s="355">
        <v>0</v>
      </c>
      <c r="AF127" s="358">
        <v>0</v>
      </c>
      <c r="AG127" s="355">
        <v>0</v>
      </c>
      <c r="AH127" s="358">
        <v>0</v>
      </c>
      <c r="AI127" s="355"/>
      <c r="AJ127" s="358">
        <v>0</v>
      </c>
      <c r="AK127" s="356">
        <v>0</v>
      </c>
      <c r="AL127" s="358">
        <v>0</v>
      </c>
      <c r="AM127" s="356">
        <v>0</v>
      </c>
      <c r="AO127" s="358">
        <v>0</v>
      </c>
      <c r="AP127" s="355">
        <v>0</v>
      </c>
      <c r="AQ127" s="358">
        <v>0</v>
      </c>
      <c r="AR127" s="355">
        <v>0</v>
      </c>
      <c r="AS127" s="358">
        <v>0</v>
      </c>
      <c r="AT127" s="355"/>
      <c r="AU127" s="358">
        <v>0</v>
      </c>
      <c r="AV127" s="356">
        <v>0</v>
      </c>
    </row>
    <row r="128" spans="2:48" x14ac:dyDescent="0.25">
      <c r="B128" s="359" t="s">
        <v>431</v>
      </c>
      <c r="C128" t="s">
        <v>430</v>
      </c>
      <c r="D128" t="s">
        <v>922</v>
      </c>
      <c r="E128" s="353">
        <v>390</v>
      </c>
      <c r="F128" s="354">
        <v>390</v>
      </c>
      <c r="G128" s="355">
        <v>0</v>
      </c>
      <c r="H128" s="356">
        <v>0</v>
      </c>
      <c r="I128" s="353">
        <v>840</v>
      </c>
      <c r="J128" s="354">
        <v>735</v>
      </c>
      <c r="K128" s="355">
        <v>0</v>
      </c>
      <c r="L128" s="356">
        <v>0</v>
      </c>
      <c r="M128" s="353">
        <v>495</v>
      </c>
      <c r="N128" s="354">
        <v>495</v>
      </c>
      <c r="O128" s="355"/>
      <c r="P128" s="356"/>
      <c r="Q128" s="353">
        <v>1725</v>
      </c>
      <c r="R128" s="357">
        <v>1620</v>
      </c>
      <c r="S128" s="355">
        <v>0</v>
      </c>
      <c r="T128" s="356">
        <v>0</v>
      </c>
      <c r="V128" s="358">
        <v>0</v>
      </c>
      <c r="W128" s="355">
        <v>0</v>
      </c>
      <c r="X128" s="358">
        <v>0</v>
      </c>
      <c r="Y128" s="355">
        <v>0</v>
      </c>
      <c r="Z128" s="358">
        <v>0</v>
      </c>
      <c r="AA128" s="355"/>
      <c r="AB128" s="354">
        <v>0</v>
      </c>
      <c r="AC128" s="355">
        <v>0</v>
      </c>
      <c r="AD128" s="358">
        <v>0</v>
      </c>
      <c r="AE128" s="355">
        <v>0</v>
      </c>
      <c r="AF128" s="358">
        <v>0</v>
      </c>
      <c r="AG128" s="355">
        <v>0</v>
      </c>
      <c r="AH128" s="358">
        <v>0</v>
      </c>
      <c r="AI128" s="355"/>
      <c r="AJ128" s="358">
        <v>0</v>
      </c>
      <c r="AK128" s="356">
        <v>0</v>
      </c>
      <c r="AL128" s="358">
        <v>0</v>
      </c>
      <c r="AM128" s="356">
        <v>0</v>
      </c>
      <c r="AO128" s="358">
        <v>0</v>
      </c>
      <c r="AP128" s="355">
        <v>0</v>
      </c>
      <c r="AQ128" s="358">
        <v>0</v>
      </c>
      <c r="AR128" s="355">
        <v>0</v>
      </c>
      <c r="AS128" s="358">
        <v>0</v>
      </c>
      <c r="AT128" s="355"/>
      <c r="AU128" s="358">
        <v>0</v>
      </c>
      <c r="AV128" s="356">
        <v>0</v>
      </c>
    </row>
    <row r="129" spans="2:48" x14ac:dyDescent="0.25">
      <c r="B129" s="359" t="s">
        <v>433</v>
      </c>
      <c r="C129" t="s">
        <v>432</v>
      </c>
      <c r="D129" t="s">
        <v>923</v>
      </c>
      <c r="E129" s="353">
        <v>390</v>
      </c>
      <c r="F129" s="354">
        <v>390</v>
      </c>
      <c r="G129" s="355">
        <v>0</v>
      </c>
      <c r="H129" s="356">
        <v>0</v>
      </c>
      <c r="I129" s="353">
        <v>252</v>
      </c>
      <c r="J129" s="354">
        <v>420</v>
      </c>
      <c r="K129" s="355">
        <v>0</v>
      </c>
      <c r="L129" s="356">
        <v>0</v>
      </c>
      <c r="M129" s="353">
        <v>330</v>
      </c>
      <c r="N129" s="354">
        <v>330</v>
      </c>
      <c r="O129" s="355"/>
      <c r="P129" s="356"/>
      <c r="Q129" s="353">
        <v>972</v>
      </c>
      <c r="R129" s="357">
        <v>1140</v>
      </c>
      <c r="S129" s="355">
        <v>0</v>
      </c>
      <c r="T129" s="356">
        <v>0</v>
      </c>
      <c r="V129" s="358">
        <v>0</v>
      </c>
      <c r="W129" s="355">
        <v>0</v>
      </c>
      <c r="X129" s="358">
        <v>0</v>
      </c>
      <c r="Y129" s="355">
        <v>0</v>
      </c>
      <c r="Z129" s="358">
        <v>0</v>
      </c>
      <c r="AA129" s="355"/>
      <c r="AB129" s="354">
        <v>0</v>
      </c>
      <c r="AC129" s="355">
        <v>0</v>
      </c>
      <c r="AD129" s="358">
        <v>390</v>
      </c>
      <c r="AE129" s="355">
        <v>0</v>
      </c>
      <c r="AF129" s="358">
        <v>0</v>
      </c>
      <c r="AG129" s="355">
        <v>0</v>
      </c>
      <c r="AH129" s="358">
        <v>330</v>
      </c>
      <c r="AI129" s="355"/>
      <c r="AJ129" s="358">
        <v>720</v>
      </c>
      <c r="AK129" s="356">
        <v>0</v>
      </c>
      <c r="AL129" s="358">
        <v>720</v>
      </c>
      <c r="AM129" s="356">
        <v>0</v>
      </c>
      <c r="AO129" s="358">
        <v>0</v>
      </c>
      <c r="AP129" s="355">
        <v>0</v>
      </c>
      <c r="AQ129" s="358">
        <v>0</v>
      </c>
      <c r="AR129" s="355">
        <v>0</v>
      </c>
      <c r="AS129" s="358">
        <v>0</v>
      </c>
      <c r="AT129" s="355"/>
      <c r="AU129" s="358">
        <v>0</v>
      </c>
      <c r="AV129" s="356">
        <v>0</v>
      </c>
    </row>
    <row r="130" spans="2:48" x14ac:dyDescent="0.25">
      <c r="B130" s="359" t="s">
        <v>435</v>
      </c>
      <c r="C130" t="s">
        <v>681</v>
      </c>
      <c r="D130" t="s">
        <v>681</v>
      </c>
      <c r="E130" s="353">
        <v>195</v>
      </c>
      <c r="F130" s="354">
        <v>260</v>
      </c>
      <c r="G130" s="355">
        <v>0</v>
      </c>
      <c r="H130" s="356">
        <v>0</v>
      </c>
      <c r="I130" s="353">
        <v>0</v>
      </c>
      <c r="J130" s="354">
        <v>0</v>
      </c>
      <c r="K130" s="355">
        <v>0</v>
      </c>
      <c r="L130" s="356">
        <v>0</v>
      </c>
      <c r="M130" s="353">
        <v>165</v>
      </c>
      <c r="N130" s="354">
        <v>220</v>
      </c>
      <c r="O130" s="355"/>
      <c r="P130" s="356"/>
      <c r="Q130" s="353">
        <v>360</v>
      </c>
      <c r="R130" s="357">
        <v>480</v>
      </c>
      <c r="S130" s="355">
        <v>0</v>
      </c>
      <c r="T130" s="356">
        <v>0</v>
      </c>
      <c r="V130" s="358">
        <v>0</v>
      </c>
      <c r="W130" s="355">
        <v>0</v>
      </c>
      <c r="X130" s="358">
        <v>0</v>
      </c>
      <c r="Y130" s="355">
        <v>0</v>
      </c>
      <c r="Z130" s="358">
        <v>0</v>
      </c>
      <c r="AA130" s="355"/>
      <c r="AB130" s="354">
        <v>0</v>
      </c>
      <c r="AC130" s="355">
        <v>0</v>
      </c>
      <c r="AD130" s="358">
        <v>130</v>
      </c>
      <c r="AE130" s="355">
        <v>0</v>
      </c>
      <c r="AF130" s="358">
        <v>0</v>
      </c>
      <c r="AG130" s="355">
        <v>0</v>
      </c>
      <c r="AH130" s="358">
        <v>110</v>
      </c>
      <c r="AI130" s="355"/>
      <c r="AJ130" s="358">
        <v>240</v>
      </c>
      <c r="AK130" s="356">
        <v>0</v>
      </c>
      <c r="AL130" s="358">
        <v>240</v>
      </c>
      <c r="AM130" s="356">
        <v>0</v>
      </c>
      <c r="AO130" s="358">
        <v>0</v>
      </c>
      <c r="AP130" s="355">
        <v>0</v>
      </c>
      <c r="AQ130" s="358">
        <v>0</v>
      </c>
      <c r="AR130" s="355">
        <v>0</v>
      </c>
      <c r="AS130" s="358">
        <v>0</v>
      </c>
      <c r="AT130" s="355"/>
      <c r="AU130" s="358">
        <v>0</v>
      </c>
      <c r="AV130" s="356">
        <v>0</v>
      </c>
    </row>
    <row r="131" spans="2:48" x14ac:dyDescent="0.25">
      <c r="B131" s="359" t="s">
        <v>437</v>
      </c>
      <c r="C131" t="s">
        <v>436</v>
      </c>
      <c r="D131" t="s">
        <v>924</v>
      </c>
      <c r="E131" s="353">
        <v>221</v>
      </c>
      <c r="F131" s="354">
        <v>292.5</v>
      </c>
      <c r="G131" s="355">
        <v>0</v>
      </c>
      <c r="H131" s="356">
        <v>0</v>
      </c>
      <c r="I131" s="353">
        <v>0</v>
      </c>
      <c r="J131" s="354">
        <v>0</v>
      </c>
      <c r="K131" s="355">
        <v>0</v>
      </c>
      <c r="L131" s="356">
        <v>0</v>
      </c>
      <c r="M131" s="353">
        <v>187</v>
      </c>
      <c r="N131" s="354">
        <v>247.5</v>
      </c>
      <c r="O131" s="355"/>
      <c r="P131" s="356"/>
      <c r="Q131" s="353">
        <v>408</v>
      </c>
      <c r="R131" s="357">
        <v>540</v>
      </c>
      <c r="S131" s="355">
        <v>0</v>
      </c>
      <c r="T131" s="356">
        <v>0</v>
      </c>
      <c r="V131" s="358">
        <v>0</v>
      </c>
      <c r="W131" s="355">
        <v>0</v>
      </c>
      <c r="X131" s="358">
        <v>0</v>
      </c>
      <c r="Y131" s="355">
        <v>0</v>
      </c>
      <c r="Z131" s="358">
        <v>0</v>
      </c>
      <c r="AA131" s="355"/>
      <c r="AB131" s="354">
        <v>0</v>
      </c>
      <c r="AC131" s="355">
        <v>0</v>
      </c>
      <c r="AD131" s="358">
        <v>0</v>
      </c>
      <c r="AE131" s="355">
        <v>0</v>
      </c>
      <c r="AF131" s="358">
        <v>0</v>
      </c>
      <c r="AG131" s="355">
        <v>0</v>
      </c>
      <c r="AH131" s="358">
        <v>0</v>
      </c>
      <c r="AI131" s="355"/>
      <c r="AJ131" s="358">
        <v>0</v>
      </c>
      <c r="AK131" s="356">
        <v>0</v>
      </c>
      <c r="AL131" s="358">
        <v>0</v>
      </c>
      <c r="AM131" s="356">
        <v>0</v>
      </c>
      <c r="AO131" s="358">
        <v>0</v>
      </c>
      <c r="AP131" s="355">
        <v>0</v>
      </c>
      <c r="AQ131" s="358">
        <v>0</v>
      </c>
      <c r="AR131" s="355">
        <v>0</v>
      </c>
      <c r="AS131" s="358">
        <v>0</v>
      </c>
      <c r="AT131" s="355"/>
      <c r="AU131" s="358">
        <v>0</v>
      </c>
      <c r="AV131" s="356">
        <v>0</v>
      </c>
    </row>
    <row r="132" spans="2:48" x14ac:dyDescent="0.25">
      <c r="B132" s="359" t="s">
        <v>441</v>
      </c>
      <c r="C132" t="s">
        <v>440</v>
      </c>
      <c r="D132" t="s">
        <v>925</v>
      </c>
      <c r="E132" s="353">
        <v>195</v>
      </c>
      <c r="F132" s="354">
        <v>117</v>
      </c>
      <c r="G132" s="355">
        <v>0</v>
      </c>
      <c r="H132" s="356">
        <v>0</v>
      </c>
      <c r="I132" s="353">
        <v>0</v>
      </c>
      <c r="J132" s="354">
        <v>0</v>
      </c>
      <c r="K132" s="355">
        <v>0</v>
      </c>
      <c r="L132" s="356">
        <v>0</v>
      </c>
      <c r="M132" s="353">
        <v>165</v>
      </c>
      <c r="N132" s="354">
        <v>0</v>
      </c>
      <c r="O132" s="355"/>
      <c r="P132" s="356"/>
      <c r="Q132" s="353">
        <v>360</v>
      </c>
      <c r="R132" s="357">
        <v>117</v>
      </c>
      <c r="S132" s="355">
        <v>0</v>
      </c>
      <c r="T132" s="356">
        <v>0</v>
      </c>
      <c r="V132" s="358">
        <v>117</v>
      </c>
      <c r="W132" s="355">
        <v>0</v>
      </c>
      <c r="X132" s="358">
        <v>0</v>
      </c>
      <c r="Y132" s="355">
        <v>0</v>
      </c>
      <c r="Z132" s="358">
        <v>0</v>
      </c>
      <c r="AA132" s="355"/>
      <c r="AB132" s="354">
        <v>117</v>
      </c>
      <c r="AC132" s="355">
        <v>0</v>
      </c>
      <c r="AD132" s="358">
        <v>0</v>
      </c>
      <c r="AE132" s="355">
        <v>0</v>
      </c>
      <c r="AF132" s="358">
        <v>0</v>
      </c>
      <c r="AG132" s="355">
        <v>0</v>
      </c>
      <c r="AH132" s="358">
        <v>0</v>
      </c>
      <c r="AI132" s="355"/>
      <c r="AJ132" s="358">
        <v>0</v>
      </c>
      <c r="AK132" s="356">
        <v>0</v>
      </c>
      <c r="AL132" s="358">
        <v>117</v>
      </c>
      <c r="AM132" s="356">
        <v>0</v>
      </c>
      <c r="AO132" s="358">
        <v>0</v>
      </c>
      <c r="AP132" s="355">
        <v>0</v>
      </c>
      <c r="AQ132" s="358">
        <v>0</v>
      </c>
      <c r="AR132" s="355">
        <v>0</v>
      </c>
      <c r="AS132" s="358">
        <v>0</v>
      </c>
      <c r="AT132" s="355"/>
      <c r="AU132" s="358">
        <v>0</v>
      </c>
      <c r="AV132" s="356">
        <v>0</v>
      </c>
    </row>
    <row r="133" spans="2:48" x14ac:dyDescent="0.25">
      <c r="B133" s="359" t="s">
        <v>443</v>
      </c>
      <c r="C133" t="s">
        <v>442</v>
      </c>
      <c r="D133" t="s">
        <v>926</v>
      </c>
      <c r="E133" s="353">
        <v>390</v>
      </c>
      <c r="F133" s="354">
        <v>195</v>
      </c>
      <c r="G133" s="355">
        <v>0</v>
      </c>
      <c r="H133" s="356">
        <v>0</v>
      </c>
      <c r="I133" s="353">
        <v>252</v>
      </c>
      <c r="J133" s="354">
        <v>483</v>
      </c>
      <c r="K133" s="355">
        <v>0</v>
      </c>
      <c r="L133" s="356">
        <v>0</v>
      </c>
      <c r="M133" s="353">
        <v>330</v>
      </c>
      <c r="N133" s="354">
        <v>165</v>
      </c>
      <c r="O133" s="355"/>
      <c r="P133" s="356"/>
      <c r="Q133" s="353">
        <v>972</v>
      </c>
      <c r="R133" s="357">
        <v>843</v>
      </c>
      <c r="S133" s="355">
        <v>0</v>
      </c>
      <c r="T133" s="356">
        <v>0</v>
      </c>
      <c r="V133" s="358">
        <v>0</v>
      </c>
      <c r="W133" s="355">
        <v>0</v>
      </c>
      <c r="X133" s="358">
        <v>0</v>
      </c>
      <c r="Y133" s="355">
        <v>0</v>
      </c>
      <c r="Z133" s="358">
        <v>0</v>
      </c>
      <c r="AA133" s="355"/>
      <c r="AB133" s="354">
        <v>0</v>
      </c>
      <c r="AC133" s="355">
        <v>0</v>
      </c>
      <c r="AD133" s="358">
        <v>0</v>
      </c>
      <c r="AE133" s="355">
        <v>0</v>
      </c>
      <c r="AF133" s="358">
        <v>0</v>
      </c>
      <c r="AG133" s="355">
        <v>0</v>
      </c>
      <c r="AH133" s="358">
        <v>0</v>
      </c>
      <c r="AI133" s="355"/>
      <c r="AJ133" s="358">
        <v>0</v>
      </c>
      <c r="AK133" s="356">
        <v>0</v>
      </c>
      <c r="AL133" s="358">
        <v>0</v>
      </c>
      <c r="AM133" s="356">
        <v>0</v>
      </c>
      <c r="AO133" s="358">
        <v>168</v>
      </c>
      <c r="AP133" s="355">
        <v>0</v>
      </c>
      <c r="AQ133" s="358">
        <v>0</v>
      </c>
      <c r="AR133" s="355">
        <v>0</v>
      </c>
      <c r="AS133" s="358">
        <v>0</v>
      </c>
      <c r="AT133" s="355"/>
      <c r="AU133" s="358">
        <v>168</v>
      </c>
      <c r="AV133" s="356">
        <v>0</v>
      </c>
    </row>
    <row r="134" spans="2:48" x14ac:dyDescent="0.25">
      <c r="B134" s="359" t="s">
        <v>445</v>
      </c>
      <c r="C134" t="s">
        <v>444</v>
      </c>
      <c r="D134" t="s">
        <v>927</v>
      </c>
      <c r="E134" s="353">
        <v>0</v>
      </c>
      <c r="F134" s="354">
        <v>0</v>
      </c>
      <c r="G134" s="355">
        <v>0</v>
      </c>
      <c r="H134" s="356">
        <v>0</v>
      </c>
      <c r="I134" s="353">
        <v>0</v>
      </c>
      <c r="J134" s="354">
        <v>0</v>
      </c>
      <c r="K134" s="355">
        <v>0</v>
      </c>
      <c r="L134" s="356">
        <v>0</v>
      </c>
      <c r="M134" s="353">
        <v>0</v>
      </c>
      <c r="N134" s="354">
        <v>0</v>
      </c>
      <c r="O134" s="355"/>
      <c r="P134" s="356"/>
      <c r="Q134" s="353">
        <v>0</v>
      </c>
      <c r="R134" s="357">
        <v>0</v>
      </c>
      <c r="S134" s="355">
        <v>0</v>
      </c>
      <c r="T134" s="356">
        <v>0</v>
      </c>
      <c r="V134" s="358">
        <v>0</v>
      </c>
      <c r="W134" s="355">
        <v>0</v>
      </c>
      <c r="X134" s="358">
        <v>0</v>
      </c>
      <c r="Y134" s="355">
        <v>0</v>
      </c>
      <c r="Z134" s="358">
        <v>0</v>
      </c>
      <c r="AA134" s="355"/>
      <c r="AB134" s="354">
        <v>0</v>
      </c>
      <c r="AC134" s="355">
        <v>0</v>
      </c>
      <c r="AD134" s="358">
        <v>0</v>
      </c>
      <c r="AE134" s="355">
        <v>0</v>
      </c>
      <c r="AF134" s="358">
        <v>0</v>
      </c>
      <c r="AG134" s="355">
        <v>0</v>
      </c>
      <c r="AH134" s="358">
        <v>0</v>
      </c>
      <c r="AI134" s="355"/>
      <c r="AJ134" s="358">
        <v>0</v>
      </c>
      <c r="AK134" s="356">
        <v>0</v>
      </c>
      <c r="AL134" s="358">
        <v>0</v>
      </c>
      <c r="AM134" s="356">
        <v>0</v>
      </c>
      <c r="AO134" s="358">
        <v>0</v>
      </c>
      <c r="AP134" s="355">
        <v>0</v>
      </c>
      <c r="AQ134" s="358">
        <v>0</v>
      </c>
      <c r="AR134" s="355">
        <v>0</v>
      </c>
      <c r="AS134" s="358">
        <v>0</v>
      </c>
      <c r="AT134" s="355"/>
      <c r="AU134" s="358">
        <v>0</v>
      </c>
      <c r="AV134" s="356">
        <v>0</v>
      </c>
    </row>
    <row r="135" spans="2:48" x14ac:dyDescent="0.25">
      <c r="B135" s="359" t="s">
        <v>446</v>
      </c>
      <c r="C135">
        <v>206046</v>
      </c>
      <c r="D135" t="s">
        <v>928</v>
      </c>
      <c r="E135" s="353">
        <v>195</v>
      </c>
      <c r="F135" s="354">
        <v>533</v>
      </c>
      <c r="G135" s="355">
        <v>0</v>
      </c>
      <c r="H135" s="356">
        <v>0</v>
      </c>
      <c r="I135" s="353">
        <v>0</v>
      </c>
      <c r="J135" s="354">
        <v>420</v>
      </c>
      <c r="K135" s="355">
        <v>0</v>
      </c>
      <c r="L135" s="356">
        <v>0</v>
      </c>
      <c r="M135" s="353">
        <v>0</v>
      </c>
      <c r="N135" s="354">
        <v>451</v>
      </c>
      <c r="O135" s="355"/>
      <c r="P135" s="356"/>
      <c r="Q135" s="353">
        <v>195</v>
      </c>
      <c r="R135" s="357">
        <v>1404</v>
      </c>
      <c r="S135" s="355">
        <v>0</v>
      </c>
      <c r="T135" s="356">
        <v>0</v>
      </c>
      <c r="V135" s="358">
        <v>0</v>
      </c>
      <c r="W135" s="355">
        <v>0</v>
      </c>
      <c r="X135" s="358">
        <v>0</v>
      </c>
      <c r="Y135" s="355">
        <v>0</v>
      </c>
      <c r="Z135" s="358">
        <v>0</v>
      </c>
      <c r="AA135" s="355"/>
      <c r="AB135" s="354">
        <v>0</v>
      </c>
      <c r="AC135" s="355">
        <v>0</v>
      </c>
      <c r="AD135" s="358">
        <v>0</v>
      </c>
      <c r="AE135" s="355">
        <v>0</v>
      </c>
      <c r="AF135" s="358">
        <v>0</v>
      </c>
      <c r="AG135" s="355">
        <v>0</v>
      </c>
      <c r="AH135" s="358">
        <v>0</v>
      </c>
      <c r="AI135" s="355"/>
      <c r="AJ135" s="358">
        <v>0</v>
      </c>
      <c r="AK135" s="356">
        <v>0</v>
      </c>
      <c r="AL135" s="358">
        <v>0</v>
      </c>
      <c r="AM135" s="356">
        <v>0</v>
      </c>
      <c r="AO135" s="358">
        <v>0</v>
      </c>
      <c r="AP135" s="355">
        <v>0</v>
      </c>
      <c r="AQ135" s="358">
        <v>0</v>
      </c>
      <c r="AR135" s="355">
        <v>0</v>
      </c>
      <c r="AS135" s="358">
        <v>0</v>
      </c>
      <c r="AT135" s="355"/>
      <c r="AU135" s="358">
        <v>0</v>
      </c>
      <c r="AV135" s="356">
        <v>0</v>
      </c>
    </row>
    <row r="136" spans="2:48" x14ac:dyDescent="0.25">
      <c r="B136" s="359" t="s">
        <v>448</v>
      </c>
      <c r="C136" t="s">
        <v>929</v>
      </c>
      <c r="D136" t="s">
        <v>929</v>
      </c>
      <c r="E136" s="353">
        <v>195</v>
      </c>
      <c r="F136" s="354">
        <v>0</v>
      </c>
      <c r="G136" s="355">
        <v>0</v>
      </c>
      <c r="H136" s="356">
        <v>0</v>
      </c>
      <c r="I136" s="353">
        <v>0</v>
      </c>
      <c r="J136" s="354">
        <v>0</v>
      </c>
      <c r="K136" s="355">
        <v>0</v>
      </c>
      <c r="L136" s="356">
        <v>0</v>
      </c>
      <c r="M136" s="353">
        <v>165</v>
      </c>
      <c r="N136" s="354">
        <v>0</v>
      </c>
      <c r="O136" s="355"/>
      <c r="P136" s="356"/>
      <c r="Q136" s="353">
        <v>360</v>
      </c>
      <c r="R136" s="357">
        <v>0</v>
      </c>
      <c r="S136" s="355">
        <v>0</v>
      </c>
      <c r="T136" s="356">
        <v>0</v>
      </c>
      <c r="V136" s="358">
        <v>195</v>
      </c>
      <c r="W136" s="355">
        <v>0</v>
      </c>
      <c r="X136" s="358">
        <v>0</v>
      </c>
      <c r="Y136" s="355">
        <v>0</v>
      </c>
      <c r="Z136" s="358">
        <v>165</v>
      </c>
      <c r="AA136" s="355"/>
      <c r="AB136" s="354">
        <v>360</v>
      </c>
      <c r="AC136" s="355">
        <v>0</v>
      </c>
      <c r="AD136" s="358">
        <v>0</v>
      </c>
      <c r="AE136" s="355">
        <v>0</v>
      </c>
      <c r="AF136" s="358">
        <v>0</v>
      </c>
      <c r="AG136" s="355">
        <v>0</v>
      </c>
      <c r="AH136" s="358">
        <v>0</v>
      </c>
      <c r="AI136" s="355"/>
      <c r="AJ136" s="358">
        <v>0</v>
      </c>
      <c r="AK136" s="356">
        <v>0</v>
      </c>
      <c r="AL136" s="358">
        <v>360</v>
      </c>
      <c r="AM136" s="356">
        <v>0</v>
      </c>
      <c r="AO136" s="358">
        <v>0</v>
      </c>
      <c r="AP136" s="355">
        <v>0</v>
      </c>
      <c r="AQ136" s="358">
        <v>0</v>
      </c>
      <c r="AR136" s="355">
        <v>0</v>
      </c>
      <c r="AS136" s="358">
        <v>0</v>
      </c>
      <c r="AT136" s="355"/>
      <c r="AU136" s="358">
        <v>0</v>
      </c>
      <c r="AV136" s="356">
        <v>0</v>
      </c>
    </row>
    <row r="137" spans="2:48" x14ac:dyDescent="0.25">
      <c r="B137" s="359" t="s">
        <v>450</v>
      </c>
      <c r="C137" t="s">
        <v>449</v>
      </c>
      <c r="D137" t="s">
        <v>930</v>
      </c>
      <c r="E137" s="353">
        <v>0</v>
      </c>
      <c r="F137" s="354">
        <v>0</v>
      </c>
      <c r="G137" s="355">
        <v>0</v>
      </c>
      <c r="H137" s="356">
        <v>0</v>
      </c>
      <c r="I137" s="353">
        <v>420</v>
      </c>
      <c r="J137" s="354">
        <v>280</v>
      </c>
      <c r="K137" s="355">
        <v>0</v>
      </c>
      <c r="L137" s="356">
        <v>0</v>
      </c>
      <c r="M137" s="353">
        <v>0</v>
      </c>
      <c r="N137" s="354">
        <v>0</v>
      </c>
      <c r="O137" s="355"/>
      <c r="P137" s="356"/>
      <c r="Q137" s="353">
        <v>420</v>
      </c>
      <c r="R137" s="357">
        <v>280</v>
      </c>
      <c r="S137" s="355">
        <v>0</v>
      </c>
      <c r="T137" s="356">
        <v>0</v>
      </c>
      <c r="V137" s="358">
        <v>0</v>
      </c>
      <c r="W137" s="355">
        <v>0</v>
      </c>
      <c r="X137" s="358">
        <v>0</v>
      </c>
      <c r="Y137" s="355">
        <v>0</v>
      </c>
      <c r="Z137" s="358">
        <v>0</v>
      </c>
      <c r="AA137" s="355"/>
      <c r="AB137" s="354">
        <v>0</v>
      </c>
      <c r="AC137" s="355">
        <v>0</v>
      </c>
      <c r="AD137" s="358">
        <v>0</v>
      </c>
      <c r="AE137" s="355">
        <v>0</v>
      </c>
      <c r="AF137" s="358">
        <v>280</v>
      </c>
      <c r="AG137" s="355">
        <v>0</v>
      </c>
      <c r="AH137" s="358">
        <v>0</v>
      </c>
      <c r="AI137" s="355"/>
      <c r="AJ137" s="358">
        <v>280</v>
      </c>
      <c r="AK137" s="356">
        <v>0</v>
      </c>
      <c r="AL137" s="358">
        <v>280</v>
      </c>
      <c r="AM137" s="356">
        <v>0</v>
      </c>
      <c r="AO137" s="358">
        <v>0</v>
      </c>
      <c r="AP137" s="355">
        <v>0</v>
      </c>
      <c r="AQ137" s="358">
        <v>0</v>
      </c>
      <c r="AR137" s="355">
        <v>0</v>
      </c>
      <c r="AS137" s="358">
        <v>0</v>
      </c>
      <c r="AT137" s="355"/>
      <c r="AU137" s="358">
        <v>0</v>
      </c>
      <c r="AV137" s="356">
        <v>0</v>
      </c>
    </row>
    <row r="138" spans="2:48" x14ac:dyDescent="0.25">
      <c r="B138" s="359" t="s">
        <v>454</v>
      </c>
      <c r="C138">
        <v>205978</v>
      </c>
      <c r="D138" t="s">
        <v>931</v>
      </c>
      <c r="E138" s="353">
        <v>377</v>
      </c>
      <c r="F138" s="354">
        <v>149.5</v>
      </c>
      <c r="G138" s="355">
        <v>0</v>
      </c>
      <c r="H138" s="356">
        <v>0</v>
      </c>
      <c r="I138" s="353">
        <v>420</v>
      </c>
      <c r="J138" s="354">
        <v>182</v>
      </c>
      <c r="K138" s="355">
        <v>0</v>
      </c>
      <c r="L138" s="356">
        <v>0</v>
      </c>
      <c r="M138" s="353">
        <v>0</v>
      </c>
      <c r="N138" s="354">
        <v>0</v>
      </c>
      <c r="O138" s="355"/>
      <c r="P138" s="356"/>
      <c r="Q138" s="353">
        <v>797</v>
      </c>
      <c r="R138" s="357">
        <v>331.5</v>
      </c>
      <c r="S138" s="355">
        <v>0</v>
      </c>
      <c r="T138" s="356">
        <v>0</v>
      </c>
      <c r="V138" s="358">
        <v>0</v>
      </c>
      <c r="W138" s="355">
        <v>0</v>
      </c>
      <c r="X138" s="358">
        <v>350</v>
      </c>
      <c r="Y138" s="355">
        <v>0</v>
      </c>
      <c r="Z138" s="358">
        <v>0</v>
      </c>
      <c r="AA138" s="355"/>
      <c r="AB138" s="354">
        <v>350</v>
      </c>
      <c r="AC138" s="355">
        <v>0</v>
      </c>
      <c r="AD138" s="358">
        <v>344.5</v>
      </c>
      <c r="AE138" s="355">
        <v>0</v>
      </c>
      <c r="AF138" s="358">
        <v>252</v>
      </c>
      <c r="AG138" s="355">
        <v>0</v>
      </c>
      <c r="AH138" s="358">
        <v>0</v>
      </c>
      <c r="AI138" s="355"/>
      <c r="AJ138" s="358">
        <v>596.5</v>
      </c>
      <c r="AK138" s="356">
        <v>0</v>
      </c>
      <c r="AL138" s="358">
        <v>946.5</v>
      </c>
      <c r="AM138" s="356">
        <v>0</v>
      </c>
      <c r="AO138" s="358">
        <v>0</v>
      </c>
      <c r="AP138" s="355">
        <v>0</v>
      </c>
      <c r="AQ138" s="358">
        <v>0</v>
      </c>
      <c r="AR138" s="355">
        <v>0</v>
      </c>
      <c r="AS138" s="358">
        <v>0</v>
      </c>
      <c r="AT138" s="355"/>
      <c r="AU138" s="358">
        <v>0</v>
      </c>
      <c r="AV138" s="356">
        <v>0</v>
      </c>
    </row>
    <row r="139" spans="2:48" x14ac:dyDescent="0.25">
      <c r="B139" s="359" t="s">
        <v>932</v>
      </c>
      <c r="C139" t="s">
        <v>933</v>
      </c>
      <c r="D139" t="s">
        <v>933</v>
      </c>
      <c r="E139" s="353">
        <v>195</v>
      </c>
      <c r="F139" s="354">
        <v>195</v>
      </c>
      <c r="G139" s="355">
        <v>0</v>
      </c>
      <c r="H139" s="356">
        <v>0</v>
      </c>
      <c r="I139" s="353">
        <v>210</v>
      </c>
      <c r="J139" s="354">
        <v>0</v>
      </c>
      <c r="K139" s="355">
        <v>0</v>
      </c>
      <c r="L139" s="356">
        <v>0</v>
      </c>
      <c r="M139" s="353">
        <v>0</v>
      </c>
      <c r="N139" s="354">
        <v>330</v>
      </c>
      <c r="O139" s="355"/>
      <c r="P139" s="356"/>
      <c r="Q139" s="353">
        <v>405</v>
      </c>
      <c r="R139" s="357">
        <v>525</v>
      </c>
      <c r="S139" s="355">
        <v>0</v>
      </c>
      <c r="T139" s="356">
        <v>0</v>
      </c>
      <c r="V139" s="358">
        <v>0</v>
      </c>
      <c r="W139" s="355">
        <v>0</v>
      </c>
      <c r="X139" s="358">
        <v>0</v>
      </c>
      <c r="Y139" s="355">
        <v>0</v>
      </c>
      <c r="Z139" s="358">
        <v>0</v>
      </c>
      <c r="AA139" s="355"/>
      <c r="AB139" s="354">
        <v>0</v>
      </c>
      <c r="AC139" s="355">
        <v>0</v>
      </c>
      <c r="AD139" s="358">
        <v>195</v>
      </c>
      <c r="AE139" s="355">
        <v>0</v>
      </c>
      <c r="AF139" s="358">
        <v>210</v>
      </c>
      <c r="AG139" s="355">
        <v>0</v>
      </c>
      <c r="AH139" s="358">
        <v>165</v>
      </c>
      <c r="AI139" s="355"/>
      <c r="AJ139" s="358">
        <v>570</v>
      </c>
      <c r="AK139" s="356">
        <v>0</v>
      </c>
      <c r="AL139" s="358">
        <v>570</v>
      </c>
      <c r="AM139" s="356">
        <v>0</v>
      </c>
      <c r="AO139" s="358">
        <v>0</v>
      </c>
      <c r="AP139" s="355">
        <v>0</v>
      </c>
      <c r="AQ139" s="358">
        <v>0</v>
      </c>
      <c r="AR139" s="355">
        <v>0</v>
      </c>
      <c r="AS139" s="358">
        <v>0</v>
      </c>
      <c r="AT139" s="355"/>
      <c r="AU139" s="358">
        <v>0</v>
      </c>
      <c r="AV139" s="356">
        <v>0</v>
      </c>
    </row>
    <row r="140" spans="2:48" x14ac:dyDescent="0.25">
      <c r="B140" s="359" t="s">
        <v>457</v>
      </c>
      <c r="C140" t="s">
        <v>934</v>
      </c>
      <c r="D140" t="s">
        <v>934</v>
      </c>
      <c r="E140" s="353">
        <v>0</v>
      </c>
      <c r="F140" s="354">
        <v>325</v>
      </c>
      <c r="G140" s="355">
        <v>0</v>
      </c>
      <c r="H140" s="356">
        <v>0</v>
      </c>
      <c r="I140" s="353">
        <v>0</v>
      </c>
      <c r="J140" s="354">
        <v>0</v>
      </c>
      <c r="K140" s="355">
        <v>0</v>
      </c>
      <c r="L140" s="356">
        <v>0</v>
      </c>
      <c r="M140" s="353">
        <v>0</v>
      </c>
      <c r="N140" s="354">
        <v>275</v>
      </c>
      <c r="O140" s="355"/>
      <c r="P140" s="356"/>
      <c r="Q140" s="353">
        <v>0</v>
      </c>
      <c r="R140" s="357">
        <v>600</v>
      </c>
      <c r="S140" s="355">
        <v>0</v>
      </c>
      <c r="T140" s="356">
        <v>0</v>
      </c>
      <c r="V140" s="358">
        <v>0</v>
      </c>
      <c r="W140" s="355">
        <v>0</v>
      </c>
      <c r="X140" s="358">
        <v>0</v>
      </c>
      <c r="Y140" s="355">
        <v>0</v>
      </c>
      <c r="Z140" s="358">
        <v>0</v>
      </c>
      <c r="AA140" s="355"/>
      <c r="AB140" s="354">
        <v>0</v>
      </c>
      <c r="AC140" s="355">
        <v>0</v>
      </c>
      <c r="AD140" s="358">
        <v>325</v>
      </c>
      <c r="AE140" s="355">
        <v>0</v>
      </c>
      <c r="AF140" s="358">
        <v>0</v>
      </c>
      <c r="AG140" s="355">
        <v>0</v>
      </c>
      <c r="AH140" s="358">
        <v>275</v>
      </c>
      <c r="AI140" s="355"/>
      <c r="AJ140" s="358">
        <v>600</v>
      </c>
      <c r="AK140" s="356">
        <v>0</v>
      </c>
      <c r="AL140" s="358">
        <v>600</v>
      </c>
      <c r="AM140" s="356">
        <v>0</v>
      </c>
      <c r="AO140" s="358">
        <v>0</v>
      </c>
      <c r="AP140" s="355">
        <v>0</v>
      </c>
      <c r="AQ140" s="358">
        <v>0</v>
      </c>
      <c r="AR140" s="355">
        <v>0</v>
      </c>
      <c r="AS140" s="358">
        <v>0</v>
      </c>
      <c r="AT140" s="355"/>
      <c r="AU140" s="358">
        <v>0</v>
      </c>
      <c r="AV140" s="356">
        <v>0</v>
      </c>
    </row>
    <row r="141" spans="2:48" x14ac:dyDescent="0.25">
      <c r="B141" s="359" t="s">
        <v>1044</v>
      </c>
      <c r="C141" t="s">
        <v>1369</v>
      </c>
      <c r="D141" t="s">
        <v>1045</v>
      </c>
      <c r="E141" s="353">
        <v>0</v>
      </c>
      <c r="F141" s="354">
        <v>0</v>
      </c>
      <c r="G141" s="355">
        <v>0</v>
      </c>
      <c r="H141" s="356">
        <v>0</v>
      </c>
      <c r="I141" s="353">
        <v>0</v>
      </c>
      <c r="J141" s="354">
        <v>0</v>
      </c>
      <c r="K141" s="355">
        <v>0</v>
      </c>
      <c r="L141" s="356">
        <v>0</v>
      </c>
      <c r="M141" s="353">
        <v>165</v>
      </c>
      <c r="N141" s="354">
        <v>165</v>
      </c>
      <c r="O141" s="355"/>
      <c r="P141" s="356"/>
      <c r="Q141" s="353">
        <v>165</v>
      </c>
      <c r="R141" s="357">
        <v>165</v>
      </c>
      <c r="S141" s="355">
        <v>0</v>
      </c>
      <c r="T141" s="356">
        <v>0</v>
      </c>
      <c r="V141" s="358">
        <v>0</v>
      </c>
      <c r="W141" s="355">
        <v>0</v>
      </c>
      <c r="X141" s="358">
        <v>0</v>
      </c>
      <c r="Y141" s="355">
        <v>0</v>
      </c>
      <c r="Z141" s="358">
        <v>0</v>
      </c>
      <c r="AA141" s="355"/>
      <c r="AB141" s="354">
        <v>0</v>
      </c>
      <c r="AC141" s="355">
        <v>0</v>
      </c>
      <c r="AD141" s="358">
        <v>0</v>
      </c>
      <c r="AE141" s="355">
        <v>0</v>
      </c>
      <c r="AF141" s="358">
        <v>0</v>
      </c>
      <c r="AG141" s="355">
        <v>0</v>
      </c>
      <c r="AH141" s="358">
        <v>330</v>
      </c>
      <c r="AI141" s="355"/>
      <c r="AJ141" s="358">
        <v>330</v>
      </c>
      <c r="AK141" s="356">
        <v>0</v>
      </c>
      <c r="AL141" s="358">
        <v>330</v>
      </c>
      <c r="AM141" s="356">
        <v>0</v>
      </c>
      <c r="AO141" s="358">
        <v>0</v>
      </c>
      <c r="AP141" s="355">
        <v>0</v>
      </c>
      <c r="AQ141" s="358">
        <v>0</v>
      </c>
      <c r="AR141" s="355">
        <v>0</v>
      </c>
      <c r="AS141" s="358">
        <v>0</v>
      </c>
      <c r="AT141" s="355"/>
      <c r="AU141" s="358">
        <v>0</v>
      </c>
      <c r="AV141" s="356">
        <v>0</v>
      </c>
    </row>
    <row r="142" spans="2:48" x14ac:dyDescent="0.25">
      <c r="B142" s="359" t="s">
        <v>458</v>
      </c>
      <c r="C142">
        <v>206043</v>
      </c>
      <c r="D142" t="s">
        <v>935</v>
      </c>
      <c r="E142" s="353">
        <v>1345.5</v>
      </c>
      <c r="F142" s="354">
        <v>1079</v>
      </c>
      <c r="G142" s="355">
        <v>0</v>
      </c>
      <c r="H142" s="356">
        <v>0</v>
      </c>
      <c r="I142" s="353">
        <v>322</v>
      </c>
      <c r="J142" s="354">
        <v>224</v>
      </c>
      <c r="K142" s="355">
        <v>0</v>
      </c>
      <c r="L142" s="356">
        <v>0</v>
      </c>
      <c r="M142" s="353">
        <v>825</v>
      </c>
      <c r="N142" s="354">
        <v>610.5</v>
      </c>
      <c r="O142" s="355"/>
      <c r="P142" s="356"/>
      <c r="Q142" s="353">
        <v>2492.5</v>
      </c>
      <c r="R142" s="357">
        <v>1913.5</v>
      </c>
      <c r="S142" s="355">
        <v>0</v>
      </c>
      <c r="T142" s="356">
        <v>0</v>
      </c>
      <c r="V142" s="358">
        <v>0</v>
      </c>
      <c r="W142" s="355">
        <v>0</v>
      </c>
      <c r="X142" s="358">
        <v>112</v>
      </c>
      <c r="Y142" s="355">
        <v>0</v>
      </c>
      <c r="Z142" s="358">
        <v>0</v>
      </c>
      <c r="AA142" s="355"/>
      <c r="AB142" s="354">
        <v>112</v>
      </c>
      <c r="AC142" s="355">
        <v>0</v>
      </c>
      <c r="AD142" s="358">
        <v>390</v>
      </c>
      <c r="AE142" s="355">
        <v>0</v>
      </c>
      <c r="AF142" s="358">
        <v>210</v>
      </c>
      <c r="AG142" s="355">
        <v>0</v>
      </c>
      <c r="AH142" s="358">
        <v>0</v>
      </c>
      <c r="AI142" s="355"/>
      <c r="AJ142" s="358">
        <v>600</v>
      </c>
      <c r="AK142" s="356">
        <v>0</v>
      </c>
      <c r="AL142" s="358">
        <v>712</v>
      </c>
      <c r="AM142" s="356">
        <v>0</v>
      </c>
      <c r="AO142" s="358">
        <v>0</v>
      </c>
      <c r="AP142" s="355">
        <v>0</v>
      </c>
      <c r="AQ142" s="358">
        <v>0</v>
      </c>
      <c r="AR142" s="355">
        <v>0</v>
      </c>
      <c r="AS142" s="358">
        <v>0</v>
      </c>
      <c r="AT142" s="355"/>
      <c r="AU142" s="358">
        <v>0</v>
      </c>
      <c r="AV142" s="356">
        <v>0</v>
      </c>
    </row>
    <row r="143" spans="2:48" x14ac:dyDescent="0.25">
      <c r="B143" s="359" t="s">
        <v>460</v>
      </c>
      <c r="C143" t="s">
        <v>459</v>
      </c>
      <c r="D143" t="s">
        <v>936</v>
      </c>
      <c r="E143" s="353">
        <v>0</v>
      </c>
      <c r="F143" s="354">
        <v>195</v>
      </c>
      <c r="G143" s="355">
        <v>0</v>
      </c>
      <c r="H143" s="356">
        <v>0</v>
      </c>
      <c r="I143" s="353">
        <v>0</v>
      </c>
      <c r="J143" s="354">
        <v>0</v>
      </c>
      <c r="K143" s="355">
        <v>0</v>
      </c>
      <c r="L143" s="356">
        <v>0</v>
      </c>
      <c r="M143" s="353">
        <v>0</v>
      </c>
      <c r="N143" s="354">
        <v>165</v>
      </c>
      <c r="O143" s="355"/>
      <c r="P143" s="356"/>
      <c r="Q143" s="353">
        <v>0</v>
      </c>
      <c r="R143" s="357">
        <v>360</v>
      </c>
      <c r="S143" s="355">
        <v>0</v>
      </c>
      <c r="T143" s="356">
        <v>0</v>
      </c>
      <c r="V143" s="358">
        <v>0</v>
      </c>
      <c r="W143" s="355">
        <v>0</v>
      </c>
      <c r="X143" s="358">
        <v>0</v>
      </c>
      <c r="Y143" s="355">
        <v>0</v>
      </c>
      <c r="Z143" s="358">
        <v>0</v>
      </c>
      <c r="AA143" s="355"/>
      <c r="AB143" s="354">
        <v>0</v>
      </c>
      <c r="AC143" s="355">
        <v>0</v>
      </c>
      <c r="AD143" s="358">
        <v>0</v>
      </c>
      <c r="AE143" s="355">
        <v>0</v>
      </c>
      <c r="AF143" s="358">
        <v>0</v>
      </c>
      <c r="AG143" s="355">
        <v>0</v>
      </c>
      <c r="AH143" s="358">
        <v>0</v>
      </c>
      <c r="AI143" s="355"/>
      <c r="AJ143" s="358">
        <v>0</v>
      </c>
      <c r="AK143" s="356">
        <v>0</v>
      </c>
      <c r="AL143" s="358">
        <v>0</v>
      </c>
      <c r="AM143" s="356">
        <v>0</v>
      </c>
      <c r="AO143" s="358">
        <v>0</v>
      </c>
      <c r="AP143" s="355">
        <v>0</v>
      </c>
      <c r="AQ143" s="358">
        <v>0</v>
      </c>
      <c r="AR143" s="355">
        <v>0</v>
      </c>
      <c r="AS143" s="358">
        <v>0</v>
      </c>
      <c r="AT143" s="355"/>
      <c r="AU143" s="358">
        <v>0</v>
      </c>
      <c r="AV143" s="356">
        <v>0</v>
      </c>
    </row>
    <row r="144" spans="2:48" x14ac:dyDescent="0.25">
      <c r="B144" s="359" t="s">
        <v>463</v>
      </c>
      <c r="C144" t="s">
        <v>462</v>
      </c>
      <c r="D144" t="s">
        <v>937</v>
      </c>
      <c r="E144" s="353">
        <v>182</v>
      </c>
      <c r="F144" s="354">
        <v>195</v>
      </c>
      <c r="G144" s="355">
        <v>0</v>
      </c>
      <c r="H144" s="356">
        <v>0</v>
      </c>
      <c r="I144" s="353">
        <v>210</v>
      </c>
      <c r="J144" s="354">
        <v>210</v>
      </c>
      <c r="K144" s="355">
        <v>0</v>
      </c>
      <c r="L144" s="356">
        <v>0</v>
      </c>
      <c r="M144" s="353">
        <v>0</v>
      </c>
      <c r="N144" s="354">
        <v>165</v>
      </c>
      <c r="O144" s="355"/>
      <c r="P144" s="356"/>
      <c r="Q144" s="353">
        <v>392</v>
      </c>
      <c r="R144" s="357">
        <v>570</v>
      </c>
      <c r="S144" s="355">
        <v>0</v>
      </c>
      <c r="T144" s="356">
        <v>0</v>
      </c>
      <c r="V144" s="358">
        <v>0</v>
      </c>
      <c r="W144" s="355">
        <v>0</v>
      </c>
      <c r="X144" s="358">
        <v>420</v>
      </c>
      <c r="Y144" s="355">
        <v>0</v>
      </c>
      <c r="Z144" s="358">
        <v>0</v>
      </c>
      <c r="AA144" s="355"/>
      <c r="AB144" s="354">
        <v>420</v>
      </c>
      <c r="AC144" s="355">
        <v>0</v>
      </c>
      <c r="AD144" s="358">
        <v>0</v>
      </c>
      <c r="AE144" s="355">
        <v>0</v>
      </c>
      <c r="AF144" s="358">
        <v>0</v>
      </c>
      <c r="AG144" s="355">
        <v>0</v>
      </c>
      <c r="AH144" s="358">
        <v>0</v>
      </c>
      <c r="AI144" s="355"/>
      <c r="AJ144" s="358">
        <v>0</v>
      </c>
      <c r="AK144" s="356">
        <v>0</v>
      </c>
      <c r="AL144" s="358">
        <v>420</v>
      </c>
      <c r="AM144" s="356">
        <v>0</v>
      </c>
      <c r="AO144" s="358">
        <v>0</v>
      </c>
      <c r="AP144" s="355">
        <v>0</v>
      </c>
      <c r="AQ144" s="358">
        <v>0</v>
      </c>
      <c r="AR144" s="355">
        <v>0</v>
      </c>
      <c r="AS144" s="358">
        <v>0</v>
      </c>
      <c r="AT144" s="355"/>
      <c r="AU144" s="358">
        <v>0</v>
      </c>
      <c r="AV144" s="356"/>
    </row>
    <row r="145" spans="2:48" x14ac:dyDescent="0.25">
      <c r="B145" s="359" t="s">
        <v>465</v>
      </c>
      <c r="C145" t="s">
        <v>464</v>
      </c>
      <c r="D145" t="s">
        <v>938</v>
      </c>
      <c r="E145" s="353">
        <v>780</v>
      </c>
      <c r="F145" s="354">
        <v>390</v>
      </c>
      <c r="G145" s="355">
        <v>0</v>
      </c>
      <c r="H145" s="356">
        <v>0</v>
      </c>
      <c r="I145" s="353">
        <v>0</v>
      </c>
      <c r="J145" s="354">
        <v>0</v>
      </c>
      <c r="K145" s="355">
        <v>0</v>
      </c>
      <c r="L145" s="356">
        <v>0</v>
      </c>
      <c r="M145" s="353">
        <v>495</v>
      </c>
      <c r="N145" s="354">
        <v>330</v>
      </c>
      <c r="O145" s="355"/>
      <c r="P145" s="356"/>
      <c r="Q145" s="353">
        <v>1275</v>
      </c>
      <c r="R145" s="357">
        <v>720</v>
      </c>
      <c r="S145" s="355">
        <v>0</v>
      </c>
      <c r="T145" s="356">
        <v>0</v>
      </c>
      <c r="V145" s="358">
        <v>780</v>
      </c>
      <c r="W145" s="355">
        <v>0</v>
      </c>
      <c r="X145" s="358">
        <v>0</v>
      </c>
      <c r="Y145" s="355">
        <v>0</v>
      </c>
      <c r="Z145" s="358">
        <v>495</v>
      </c>
      <c r="AA145" s="355"/>
      <c r="AB145" s="354">
        <v>1275</v>
      </c>
      <c r="AC145" s="355">
        <v>0</v>
      </c>
      <c r="AD145" s="358">
        <v>390</v>
      </c>
      <c r="AE145" s="355">
        <v>0</v>
      </c>
      <c r="AF145" s="358">
        <v>0</v>
      </c>
      <c r="AG145" s="355">
        <v>0</v>
      </c>
      <c r="AH145" s="358">
        <v>330</v>
      </c>
      <c r="AI145" s="355"/>
      <c r="AJ145" s="358">
        <v>720</v>
      </c>
      <c r="AK145" s="356">
        <v>0</v>
      </c>
      <c r="AL145" s="358">
        <v>1995</v>
      </c>
      <c r="AM145" s="356">
        <v>0</v>
      </c>
      <c r="AO145" s="358">
        <v>0</v>
      </c>
      <c r="AP145" s="355">
        <v>0</v>
      </c>
      <c r="AQ145" s="358">
        <v>0</v>
      </c>
      <c r="AR145" s="355">
        <v>0</v>
      </c>
      <c r="AS145" s="358">
        <v>0</v>
      </c>
      <c r="AT145" s="355"/>
      <c r="AU145" s="358">
        <v>0</v>
      </c>
      <c r="AV145" s="356">
        <v>0</v>
      </c>
    </row>
    <row r="146" spans="2:48" x14ac:dyDescent="0.25">
      <c r="B146" s="359" t="s">
        <v>467</v>
      </c>
      <c r="C146" t="s">
        <v>466</v>
      </c>
      <c r="D146" t="s">
        <v>939</v>
      </c>
      <c r="E146" s="353">
        <v>390</v>
      </c>
      <c r="F146" s="354">
        <v>487.5</v>
      </c>
      <c r="G146" s="355">
        <v>0</v>
      </c>
      <c r="H146" s="356">
        <v>0</v>
      </c>
      <c r="I146" s="353">
        <v>0</v>
      </c>
      <c r="J146" s="354">
        <v>0</v>
      </c>
      <c r="K146" s="355">
        <v>0</v>
      </c>
      <c r="L146" s="356">
        <v>0</v>
      </c>
      <c r="M146" s="353">
        <v>330</v>
      </c>
      <c r="N146" s="354">
        <v>330</v>
      </c>
      <c r="O146" s="355"/>
      <c r="P146" s="356"/>
      <c r="Q146" s="353">
        <v>720</v>
      </c>
      <c r="R146" s="357">
        <v>817.5</v>
      </c>
      <c r="S146" s="355">
        <v>0</v>
      </c>
      <c r="T146" s="356">
        <v>0</v>
      </c>
      <c r="V146" s="358">
        <v>97.5</v>
      </c>
      <c r="W146" s="355">
        <v>0</v>
      </c>
      <c r="X146" s="358">
        <v>0</v>
      </c>
      <c r="Y146" s="355">
        <v>0</v>
      </c>
      <c r="Z146" s="358">
        <v>0</v>
      </c>
      <c r="AA146" s="355"/>
      <c r="AB146" s="354">
        <v>97.5</v>
      </c>
      <c r="AC146" s="355">
        <v>0</v>
      </c>
      <c r="AD146" s="358">
        <v>0</v>
      </c>
      <c r="AE146" s="355">
        <v>0</v>
      </c>
      <c r="AF146" s="358">
        <v>0</v>
      </c>
      <c r="AG146" s="355">
        <v>0</v>
      </c>
      <c r="AH146" s="358">
        <v>0</v>
      </c>
      <c r="AI146" s="355"/>
      <c r="AJ146" s="358">
        <v>0</v>
      </c>
      <c r="AK146" s="356">
        <v>0</v>
      </c>
      <c r="AL146" s="358">
        <v>97.5</v>
      </c>
      <c r="AM146" s="356">
        <v>0</v>
      </c>
      <c r="AO146" s="358">
        <v>0</v>
      </c>
      <c r="AP146" s="355">
        <v>0</v>
      </c>
      <c r="AQ146" s="358">
        <v>0</v>
      </c>
      <c r="AR146" s="355">
        <v>0</v>
      </c>
      <c r="AS146" s="358">
        <v>0</v>
      </c>
      <c r="AT146" s="355"/>
      <c r="AU146" s="358">
        <v>0</v>
      </c>
      <c r="AV146" s="356">
        <v>0</v>
      </c>
    </row>
    <row r="147" spans="2:48" x14ac:dyDescent="0.25">
      <c r="B147" s="359" t="s">
        <v>469</v>
      </c>
      <c r="C147" t="s">
        <v>468</v>
      </c>
      <c r="D147" t="s">
        <v>940</v>
      </c>
      <c r="E147" s="353">
        <v>390</v>
      </c>
      <c r="F147" s="354">
        <v>585</v>
      </c>
      <c r="G147" s="355">
        <v>0</v>
      </c>
      <c r="H147" s="356">
        <v>0</v>
      </c>
      <c r="I147" s="353">
        <v>0</v>
      </c>
      <c r="J147" s="354">
        <v>0</v>
      </c>
      <c r="K147" s="355">
        <v>0</v>
      </c>
      <c r="L147" s="356">
        <v>0</v>
      </c>
      <c r="M147" s="353">
        <v>330</v>
      </c>
      <c r="N147" s="354">
        <v>495</v>
      </c>
      <c r="O147" s="355"/>
      <c r="P147" s="356"/>
      <c r="Q147" s="353">
        <v>720</v>
      </c>
      <c r="R147" s="357">
        <v>1080</v>
      </c>
      <c r="S147" s="355">
        <v>0</v>
      </c>
      <c r="T147" s="356">
        <v>0</v>
      </c>
      <c r="V147" s="358">
        <v>0</v>
      </c>
      <c r="W147" s="355">
        <v>0</v>
      </c>
      <c r="X147" s="358">
        <v>0</v>
      </c>
      <c r="Y147" s="355">
        <v>0</v>
      </c>
      <c r="Z147" s="358">
        <v>0</v>
      </c>
      <c r="AA147" s="355"/>
      <c r="AB147" s="354">
        <v>0</v>
      </c>
      <c r="AC147" s="355">
        <v>0</v>
      </c>
      <c r="AD147" s="358">
        <v>975</v>
      </c>
      <c r="AE147" s="355">
        <v>0</v>
      </c>
      <c r="AF147" s="358">
        <v>0</v>
      </c>
      <c r="AG147" s="355">
        <v>0</v>
      </c>
      <c r="AH147" s="358">
        <v>660</v>
      </c>
      <c r="AI147" s="355"/>
      <c r="AJ147" s="358">
        <v>1635</v>
      </c>
      <c r="AK147" s="356">
        <v>0</v>
      </c>
      <c r="AL147" s="358">
        <v>1635</v>
      </c>
      <c r="AM147" s="356">
        <v>0</v>
      </c>
      <c r="AO147" s="358">
        <v>0</v>
      </c>
      <c r="AP147" s="355">
        <v>0</v>
      </c>
      <c r="AQ147" s="358">
        <v>0</v>
      </c>
      <c r="AR147" s="355">
        <v>0</v>
      </c>
      <c r="AS147" s="358">
        <v>0</v>
      </c>
      <c r="AT147" s="355"/>
      <c r="AU147" s="358">
        <v>0</v>
      </c>
      <c r="AV147" s="356">
        <v>0</v>
      </c>
    </row>
    <row r="148" spans="2:48" x14ac:dyDescent="0.25">
      <c r="B148" s="359" t="s">
        <v>471</v>
      </c>
      <c r="C148" t="s">
        <v>470</v>
      </c>
      <c r="D148" t="s">
        <v>941</v>
      </c>
      <c r="E148" s="353">
        <v>390</v>
      </c>
      <c r="F148" s="354">
        <v>117</v>
      </c>
      <c r="G148" s="355">
        <v>0</v>
      </c>
      <c r="H148" s="356">
        <v>0</v>
      </c>
      <c r="I148" s="353">
        <v>420</v>
      </c>
      <c r="J148" s="354">
        <v>210</v>
      </c>
      <c r="K148" s="355">
        <v>0</v>
      </c>
      <c r="L148" s="356">
        <v>0</v>
      </c>
      <c r="M148" s="353">
        <v>330</v>
      </c>
      <c r="N148" s="354">
        <v>99</v>
      </c>
      <c r="O148" s="355"/>
      <c r="P148" s="356"/>
      <c r="Q148" s="353">
        <v>1140</v>
      </c>
      <c r="R148" s="357">
        <v>426</v>
      </c>
      <c r="S148" s="355">
        <v>0</v>
      </c>
      <c r="T148" s="356">
        <v>0</v>
      </c>
      <c r="V148" s="358">
        <v>0</v>
      </c>
      <c r="W148" s="355">
        <v>0</v>
      </c>
      <c r="X148" s="358">
        <v>0</v>
      </c>
      <c r="Y148" s="355">
        <v>0</v>
      </c>
      <c r="Z148" s="358">
        <v>0</v>
      </c>
      <c r="AA148" s="355"/>
      <c r="AB148" s="354">
        <v>0</v>
      </c>
      <c r="AC148" s="355">
        <v>0</v>
      </c>
      <c r="AD148" s="358">
        <v>0</v>
      </c>
      <c r="AE148" s="355">
        <v>0</v>
      </c>
      <c r="AF148" s="358">
        <v>0</v>
      </c>
      <c r="AG148" s="355">
        <v>0</v>
      </c>
      <c r="AH148" s="358">
        <v>0</v>
      </c>
      <c r="AI148" s="355"/>
      <c r="AJ148" s="358">
        <v>0</v>
      </c>
      <c r="AK148" s="356">
        <v>0</v>
      </c>
      <c r="AL148" s="358">
        <v>0</v>
      </c>
      <c r="AM148" s="356">
        <v>0</v>
      </c>
      <c r="AO148" s="358">
        <v>0</v>
      </c>
      <c r="AP148" s="355">
        <v>0</v>
      </c>
      <c r="AQ148" s="358">
        <v>0</v>
      </c>
      <c r="AR148" s="355">
        <v>0</v>
      </c>
      <c r="AS148" s="358">
        <v>0</v>
      </c>
      <c r="AT148" s="355"/>
      <c r="AU148" s="358">
        <v>0</v>
      </c>
      <c r="AV148" s="356">
        <v>0</v>
      </c>
    </row>
    <row r="149" spans="2:48" x14ac:dyDescent="0.25">
      <c r="B149" s="359" t="s">
        <v>473</v>
      </c>
      <c r="C149" t="s">
        <v>472</v>
      </c>
      <c r="D149" t="s">
        <v>942</v>
      </c>
      <c r="E149" s="353">
        <v>195</v>
      </c>
      <c r="F149" s="354">
        <v>312</v>
      </c>
      <c r="G149" s="355">
        <v>0</v>
      </c>
      <c r="H149" s="356">
        <v>0</v>
      </c>
      <c r="I149" s="353">
        <v>210</v>
      </c>
      <c r="J149" s="354">
        <v>210</v>
      </c>
      <c r="K149" s="355">
        <v>0</v>
      </c>
      <c r="L149" s="356">
        <v>0</v>
      </c>
      <c r="M149" s="353">
        <v>0</v>
      </c>
      <c r="N149" s="354">
        <v>93.5</v>
      </c>
      <c r="O149" s="355"/>
      <c r="P149" s="356"/>
      <c r="Q149" s="353">
        <v>405</v>
      </c>
      <c r="R149" s="357">
        <v>615.5</v>
      </c>
      <c r="S149" s="355">
        <v>0</v>
      </c>
      <c r="T149" s="356">
        <v>0</v>
      </c>
      <c r="V149" s="358">
        <v>390</v>
      </c>
      <c r="W149" s="355">
        <v>0</v>
      </c>
      <c r="X149" s="358">
        <v>420</v>
      </c>
      <c r="Y149" s="355">
        <v>0</v>
      </c>
      <c r="Z149" s="358">
        <v>0</v>
      </c>
      <c r="AA149" s="355"/>
      <c r="AB149" s="354">
        <v>810</v>
      </c>
      <c r="AC149" s="355">
        <v>0</v>
      </c>
      <c r="AD149" s="358">
        <v>117</v>
      </c>
      <c r="AE149" s="355">
        <v>0</v>
      </c>
      <c r="AF149" s="358">
        <v>0</v>
      </c>
      <c r="AG149" s="355">
        <v>0</v>
      </c>
      <c r="AH149" s="358">
        <v>93.5</v>
      </c>
      <c r="AI149" s="355"/>
      <c r="AJ149" s="358">
        <v>210.5</v>
      </c>
      <c r="AK149" s="356">
        <v>0</v>
      </c>
      <c r="AL149" s="358">
        <v>1020.5</v>
      </c>
      <c r="AM149" s="356">
        <v>0</v>
      </c>
      <c r="AO149" s="358">
        <v>0</v>
      </c>
      <c r="AP149" s="355">
        <v>0</v>
      </c>
      <c r="AQ149" s="358">
        <v>0</v>
      </c>
      <c r="AR149" s="355">
        <v>0</v>
      </c>
      <c r="AS149" s="358">
        <v>0</v>
      </c>
      <c r="AT149" s="355"/>
      <c r="AU149" s="358">
        <v>0</v>
      </c>
      <c r="AV149" s="356">
        <v>0</v>
      </c>
    </row>
    <row r="150" spans="2:48" x14ac:dyDescent="0.25">
      <c r="B150" s="359" t="s">
        <v>475</v>
      </c>
      <c r="C150" t="s">
        <v>474</v>
      </c>
      <c r="D150" t="s">
        <v>943</v>
      </c>
      <c r="E150" s="353">
        <v>585</v>
      </c>
      <c r="F150" s="354">
        <v>266.5</v>
      </c>
      <c r="G150" s="355">
        <v>0</v>
      </c>
      <c r="H150" s="356">
        <v>0</v>
      </c>
      <c r="I150" s="353">
        <v>210</v>
      </c>
      <c r="J150" s="354">
        <v>0</v>
      </c>
      <c r="K150" s="355">
        <v>0</v>
      </c>
      <c r="L150" s="356">
        <v>0</v>
      </c>
      <c r="M150" s="353">
        <v>330</v>
      </c>
      <c r="N150" s="354">
        <v>115.5</v>
      </c>
      <c r="O150" s="355"/>
      <c r="P150" s="356"/>
      <c r="Q150" s="353">
        <v>1125</v>
      </c>
      <c r="R150" s="357">
        <v>382</v>
      </c>
      <c r="S150" s="355">
        <v>0</v>
      </c>
      <c r="T150" s="356">
        <v>0</v>
      </c>
      <c r="V150" s="358">
        <v>195</v>
      </c>
      <c r="W150" s="355">
        <v>0</v>
      </c>
      <c r="X150" s="358">
        <v>210</v>
      </c>
      <c r="Y150" s="355">
        <v>0</v>
      </c>
      <c r="Z150" s="358">
        <v>0</v>
      </c>
      <c r="AA150" s="355"/>
      <c r="AB150" s="354">
        <v>405</v>
      </c>
      <c r="AC150" s="355">
        <v>0</v>
      </c>
      <c r="AD150" s="358">
        <v>390</v>
      </c>
      <c r="AE150" s="355">
        <v>0</v>
      </c>
      <c r="AF150" s="358">
        <v>0</v>
      </c>
      <c r="AG150" s="355">
        <v>0</v>
      </c>
      <c r="AH150" s="358">
        <v>280.5</v>
      </c>
      <c r="AI150" s="355"/>
      <c r="AJ150" s="358">
        <v>670.5</v>
      </c>
      <c r="AK150" s="356">
        <v>0</v>
      </c>
      <c r="AL150" s="358">
        <v>1075.5</v>
      </c>
      <c r="AM150" s="356">
        <v>0</v>
      </c>
      <c r="AO150" s="358">
        <v>0</v>
      </c>
      <c r="AP150" s="355">
        <v>0</v>
      </c>
      <c r="AQ150" s="358">
        <v>0</v>
      </c>
      <c r="AR150" s="355">
        <v>0</v>
      </c>
      <c r="AS150" s="358">
        <v>0</v>
      </c>
      <c r="AT150" s="355"/>
      <c r="AU150" s="358">
        <v>0</v>
      </c>
      <c r="AV150" s="356">
        <v>0</v>
      </c>
    </row>
    <row r="151" spans="2:48" x14ac:dyDescent="0.25">
      <c r="B151" s="359" t="s">
        <v>477</v>
      </c>
      <c r="C151" t="s">
        <v>476</v>
      </c>
      <c r="D151" t="s">
        <v>944</v>
      </c>
      <c r="E151" s="353">
        <v>3198</v>
      </c>
      <c r="F151" s="354">
        <v>780</v>
      </c>
      <c r="G151" s="355">
        <v>0</v>
      </c>
      <c r="H151" s="356">
        <v>0</v>
      </c>
      <c r="I151" s="353">
        <v>2520</v>
      </c>
      <c r="J151" s="354">
        <v>714</v>
      </c>
      <c r="K151" s="355">
        <v>0</v>
      </c>
      <c r="L151" s="356">
        <v>0</v>
      </c>
      <c r="M151" s="353">
        <v>2640</v>
      </c>
      <c r="N151" s="354">
        <v>231</v>
      </c>
      <c r="O151" s="355"/>
      <c r="P151" s="356"/>
      <c r="Q151" s="353">
        <v>8358</v>
      </c>
      <c r="R151" s="357">
        <v>1725</v>
      </c>
      <c r="S151" s="355">
        <v>0</v>
      </c>
      <c r="T151" s="356">
        <v>0</v>
      </c>
      <c r="V151" s="358">
        <v>1365</v>
      </c>
      <c r="W151" s="355">
        <v>0</v>
      </c>
      <c r="X151" s="358">
        <v>1050</v>
      </c>
      <c r="Y151" s="355">
        <v>0</v>
      </c>
      <c r="Z151" s="358">
        <v>1155</v>
      </c>
      <c r="AA151" s="355"/>
      <c r="AB151" s="354">
        <v>3570</v>
      </c>
      <c r="AC151" s="355">
        <v>0</v>
      </c>
      <c r="AD151" s="358">
        <v>975</v>
      </c>
      <c r="AE151" s="355">
        <v>0</v>
      </c>
      <c r="AF151" s="358">
        <v>840</v>
      </c>
      <c r="AG151" s="355">
        <v>0</v>
      </c>
      <c r="AH151" s="358">
        <v>330</v>
      </c>
      <c r="AI151" s="355"/>
      <c r="AJ151" s="358">
        <v>2145</v>
      </c>
      <c r="AK151" s="356">
        <v>0</v>
      </c>
      <c r="AL151" s="358">
        <v>5715</v>
      </c>
      <c r="AM151" s="356">
        <v>0</v>
      </c>
      <c r="AO151" s="358">
        <v>1050</v>
      </c>
      <c r="AP151" s="355">
        <v>0</v>
      </c>
      <c r="AQ151" s="358">
        <v>1320</v>
      </c>
      <c r="AR151" s="355">
        <v>0</v>
      </c>
      <c r="AS151" s="358">
        <v>1320</v>
      </c>
      <c r="AT151" s="355"/>
      <c r="AU151" s="358">
        <v>3690</v>
      </c>
      <c r="AV151" s="356">
        <v>0</v>
      </c>
    </row>
    <row r="152" spans="2:48" x14ac:dyDescent="0.25">
      <c r="B152" s="359" t="s">
        <v>945</v>
      </c>
      <c r="C152" t="s">
        <v>946</v>
      </c>
      <c r="D152" t="s">
        <v>946</v>
      </c>
      <c r="E152" s="353">
        <v>0</v>
      </c>
      <c r="F152" s="354">
        <v>0</v>
      </c>
      <c r="G152" s="355">
        <v>0</v>
      </c>
      <c r="H152" s="356">
        <v>0</v>
      </c>
      <c r="I152" s="353">
        <v>0</v>
      </c>
      <c r="J152" s="354">
        <v>0</v>
      </c>
      <c r="K152" s="355">
        <v>0</v>
      </c>
      <c r="L152" s="356">
        <v>0</v>
      </c>
      <c r="M152" s="353">
        <v>0</v>
      </c>
      <c r="N152" s="354">
        <v>0</v>
      </c>
      <c r="O152" s="355"/>
      <c r="P152" s="356"/>
      <c r="Q152" s="353">
        <v>0</v>
      </c>
      <c r="R152" s="357">
        <v>0</v>
      </c>
      <c r="S152" s="355">
        <v>0</v>
      </c>
      <c r="T152" s="356">
        <v>0</v>
      </c>
      <c r="V152" s="358">
        <v>0</v>
      </c>
      <c r="W152" s="355">
        <v>0</v>
      </c>
      <c r="X152" s="358">
        <v>0</v>
      </c>
      <c r="Y152" s="355">
        <v>0</v>
      </c>
      <c r="Z152" s="358">
        <v>0</v>
      </c>
      <c r="AA152" s="355"/>
      <c r="AB152" s="354">
        <v>0</v>
      </c>
      <c r="AC152" s="355">
        <v>0</v>
      </c>
      <c r="AD152" s="358">
        <v>0</v>
      </c>
      <c r="AE152" s="355">
        <v>0</v>
      </c>
      <c r="AF152" s="358">
        <v>0</v>
      </c>
      <c r="AG152" s="355">
        <v>0</v>
      </c>
      <c r="AH152" s="358">
        <v>0</v>
      </c>
      <c r="AI152" s="355"/>
      <c r="AJ152" s="358">
        <v>0</v>
      </c>
      <c r="AK152" s="356">
        <v>0</v>
      </c>
      <c r="AL152" s="358">
        <v>0</v>
      </c>
      <c r="AM152" s="356">
        <v>0</v>
      </c>
      <c r="AO152" s="358">
        <v>0</v>
      </c>
      <c r="AP152" s="355">
        <v>0</v>
      </c>
      <c r="AQ152" s="358">
        <v>0</v>
      </c>
      <c r="AR152" s="355">
        <v>0</v>
      </c>
      <c r="AS152" s="358">
        <v>0</v>
      </c>
      <c r="AT152" s="355"/>
      <c r="AU152" s="358">
        <v>0</v>
      </c>
      <c r="AV152" s="356">
        <v>0</v>
      </c>
    </row>
    <row r="153" spans="2:48" x14ac:dyDescent="0.25">
      <c r="B153" s="359" t="s">
        <v>479</v>
      </c>
      <c r="C153" t="s">
        <v>478</v>
      </c>
      <c r="D153" t="s">
        <v>947</v>
      </c>
      <c r="E153" s="353">
        <v>8385</v>
      </c>
      <c r="F153" s="354">
        <v>0</v>
      </c>
      <c r="G153" s="355">
        <v>0</v>
      </c>
      <c r="H153" s="356">
        <v>0</v>
      </c>
      <c r="I153" s="353">
        <v>9660</v>
      </c>
      <c r="J153" s="354">
        <v>0</v>
      </c>
      <c r="K153" s="355">
        <v>0</v>
      </c>
      <c r="L153" s="356">
        <v>0</v>
      </c>
      <c r="M153" s="353">
        <v>7034.210526315791</v>
      </c>
      <c r="N153" s="354">
        <v>0</v>
      </c>
      <c r="O153" s="355"/>
      <c r="P153" s="356"/>
      <c r="Q153" s="353">
        <v>25079.21052631579</v>
      </c>
      <c r="R153" s="357">
        <v>0</v>
      </c>
      <c r="S153" s="355">
        <v>0</v>
      </c>
      <c r="T153" s="356">
        <v>0</v>
      </c>
      <c r="V153" s="358">
        <v>195</v>
      </c>
      <c r="W153" s="355">
        <v>0</v>
      </c>
      <c r="X153" s="358">
        <v>210</v>
      </c>
      <c r="Y153" s="355">
        <v>0</v>
      </c>
      <c r="Z153" s="358">
        <v>312.63157894736844</v>
      </c>
      <c r="AA153" s="355"/>
      <c r="AB153" s="354">
        <v>717.63157894736844</v>
      </c>
      <c r="AC153" s="355">
        <v>0</v>
      </c>
      <c r="AD153" s="358">
        <v>1170</v>
      </c>
      <c r="AE153" s="355">
        <v>0</v>
      </c>
      <c r="AF153" s="358">
        <v>1680</v>
      </c>
      <c r="AG153" s="355">
        <v>0</v>
      </c>
      <c r="AH153" s="358">
        <v>937.8947368421052</v>
      </c>
      <c r="AI153" s="355"/>
      <c r="AJ153" s="358">
        <v>3787.894736842105</v>
      </c>
      <c r="AK153" s="356">
        <v>0</v>
      </c>
      <c r="AL153" s="358">
        <v>4505.5263157894733</v>
      </c>
      <c r="AM153" s="356">
        <v>0</v>
      </c>
      <c r="AO153" s="358">
        <v>210</v>
      </c>
      <c r="AP153" s="355">
        <v>0</v>
      </c>
      <c r="AQ153" s="358">
        <v>312.63157894736844</v>
      </c>
      <c r="AR153" s="355">
        <v>0</v>
      </c>
      <c r="AS153" s="358">
        <v>312.63157894736844</v>
      </c>
      <c r="AT153" s="355"/>
      <c r="AU153" s="358">
        <v>835.26315789473688</v>
      </c>
      <c r="AV153" s="356">
        <v>0</v>
      </c>
    </row>
    <row r="154" spans="2:48" x14ac:dyDescent="0.25">
      <c r="B154" s="359" t="s">
        <v>481</v>
      </c>
      <c r="C154" t="s">
        <v>480</v>
      </c>
      <c r="D154" t="s">
        <v>948</v>
      </c>
      <c r="E154" s="353">
        <v>4082</v>
      </c>
      <c r="F154" s="354">
        <v>767</v>
      </c>
      <c r="G154" s="355">
        <v>0</v>
      </c>
      <c r="H154" s="356">
        <v>0</v>
      </c>
      <c r="I154" s="353">
        <v>2821</v>
      </c>
      <c r="J154" s="354">
        <v>1062.25</v>
      </c>
      <c r="K154" s="355">
        <v>0</v>
      </c>
      <c r="L154" s="356">
        <v>0</v>
      </c>
      <c r="M154" s="353">
        <v>2849</v>
      </c>
      <c r="N154" s="354">
        <v>445.5</v>
      </c>
      <c r="O154" s="355"/>
      <c r="P154" s="356"/>
      <c r="Q154" s="353">
        <v>9752</v>
      </c>
      <c r="R154" s="357">
        <v>2274.75</v>
      </c>
      <c r="S154" s="355">
        <v>0</v>
      </c>
      <c r="T154" s="356">
        <v>0</v>
      </c>
      <c r="V154" s="358">
        <v>1846</v>
      </c>
      <c r="W154" s="355">
        <v>0</v>
      </c>
      <c r="X154" s="358">
        <v>1442</v>
      </c>
      <c r="Y154" s="355">
        <v>0</v>
      </c>
      <c r="Z154" s="358">
        <v>1100</v>
      </c>
      <c r="AA154" s="355"/>
      <c r="AB154" s="354">
        <v>4388</v>
      </c>
      <c r="AC154" s="355">
        <v>0</v>
      </c>
      <c r="AD154" s="358">
        <v>702</v>
      </c>
      <c r="AE154" s="355">
        <v>0</v>
      </c>
      <c r="AF154" s="358">
        <v>523.25</v>
      </c>
      <c r="AG154" s="355">
        <v>0</v>
      </c>
      <c r="AH154" s="358">
        <v>511.5</v>
      </c>
      <c r="AI154" s="355"/>
      <c r="AJ154" s="358">
        <v>1736.75</v>
      </c>
      <c r="AK154" s="356">
        <v>0</v>
      </c>
      <c r="AL154" s="358">
        <v>6124.75</v>
      </c>
      <c r="AM154" s="356">
        <v>0</v>
      </c>
      <c r="AO154" s="358">
        <v>1076.25</v>
      </c>
      <c r="AP154" s="355">
        <v>0</v>
      </c>
      <c r="AQ154" s="358">
        <v>808.5</v>
      </c>
      <c r="AR154" s="355">
        <v>0</v>
      </c>
      <c r="AS154" s="358">
        <v>808.5</v>
      </c>
      <c r="AT154" s="355"/>
      <c r="AU154" s="358">
        <v>2693.25</v>
      </c>
      <c r="AV154" s="356">
        <v>0</v>
      </c>
    </row>
    <row r="155" spans="2:48" x14ac:dyDescent="0.25">
      <c r="B155" s="359" t="s">
        <v>483</v>
      </c>
      <c r="C155" t="s">
        <v>482</v>
      </c>
      <c r="D155" t="s">
        <v>949</v>
      </c>
      <c r="E155" s="353">
        <v>5577</v>
      </c>
      <c r="F155" s="354">
        <v>1495</v>
      </c>
      <c r="G155" s="355">
        <v>0</v>
      </c>
      <c r="H155" s="356">
        <v>0</v>
      </c>
      <c r="I155" s="353">
        <v>5194</v>
      </c>
      <c r="J155" s="354">
        <v>717.5</v>
      </c>
      <c r="K155" s="355">
        <v>0</v>
      </c>
      <c r="L155" s="356">
        <v>0</v>
      </c>
      <c r="M155" s="353">
        <v>3729</v>
      </c>
      <c r="N155" s="354">
        <v>990</v>
      </c>
      <c r="O155" s="355"/>
      <c r="P155" s="356"/>
      <c r="Q155" s="353">
        <v>14500</v>
      </c>
      <c r="R155" s="357">
        <v>3202.5</v>
      </c>
      <c r="S155" s="355">
        <v>0</v>
      </c>
      <c r="T155" s="356">
        <v>0</v>
      </c>
      <c r="V155" s="358">
        <v>5655</v>
      </c>
      <c r="W155" s="355">
        <v>0</v>
      </c>
      <c r="X155" s="358">
        <v>3724</v>
      </c>
      <c r="Y155" s="355">
        <v>0</v>
      </c>
      <c r="Z155" s="358">
        <v>4290</v>
      </c>
      <c r="AA155" s="355"/>
      <c r="AB155" s="354">
        <v>13669</v>
      </c>
      <c r="AC155" s="355">
        <v>0</v>
      </c>
      <c r="AD155" s="358">
        <v>390</v>
      </c>
      <c r="AE155" s="355">
        <v>0</v>
      </c>
      <c r="AF155" s="358">
        <v>630</v>
      </c>
      <c r="AG155" s="355">
        <v>0</v>
      </c>
      <c r="AH155" s="358">
        <v>165</v>
      </c>
      <c r="AI155" s="355"/>
      <c r="AJ155" s="358">
        <v>1185</v>
      </c>
      <c r="AK155" s="356">
        <v>0</v>
      </c>
      <c r="AL155" s="358">
        <v>14854</v>
      </c>
      <c r="AM155" s="356">
        <v>0</v>
      </c>
      <c r="AO155" s="358">
        <v>0</v>
      </c>
      <c r="AP155" s="355">
        <v>0</v>
      </c>
      <c r="AQ155" s="358">
        <v>660</v>
      </c>
      <c r="AR155" s="355">
        <v>0</v>
      </c>
      <c r="AS155" s="358">
        <v>660</v>
      </c>
      <c r="AT155" s="355"/>
      <c r="AU155" s="358">
        <v>1320</v>
      </c>
      <c r="AV155" s="356">
        <v>0</v>
      </c>
    </row>
    <row r="156" spans="2:48" x14ac:dyDescent="0.25">
      <c r="B156" s="359" t="s">
        <v>485</v>
      </c>
      <c r="C156" t="s">
        <v>484</v>
      </c>
      <c r="D156" t="s">
        <v>950</v>
      </c>
      <c r="E156" s="353">
        <v>5720</v>
      </c>
      <c r="F156" s="354">
        <v>195</v>
      </c>
      <c r="G156" s="355">
        <v>0</v>
      </c>
      <c r="H156" s="356">
        <v>0</v>
      </c>
      <c r="I156" s="353">
        <v>0</v>
      </c>
      <c r="J156" s="354">
        <v>0</v>
      </c>
      <c r="K156" s="355">
        <v>0</v>
      </c>
      <c r="L156" s="356">
        <v>0</v>
      </c>
      <c r="M156" s="353">
        <v>3498</v>
      </c>
      <c r="N156" s="354">
        <v>165</v>
      </c>
      <c r="O156" s="355"/>
      <c r="P156" s="356"/>
      <c r="Q156" s="353">
        <v>9218</v>
      </c>
      <c r="R156" s="357">
        <v>360</v>
      </c>
      <c r="S156" s="355">
        <v>0</v>
      </c>
      <c r="T156" s="356">
        <v>0</v>
      </c>
      <c r="V156" s="358">
        <v>3276</v>
      </c>
      <c r="W156" s="355">
        <v>0</v>
      </c>
      <c r="X156" s="358">
        <v>0</v>
      </c>
      <c r="Y156" s="355">
        <v>0</v>
      </c>
      <c r="Z156" s="358">
        <v>1881</v>
      </c>
      <c r="AA156" s="355"/>
      <c r="AB156" s="354">
        <v>5157</v>
      </c>
      <c r="AC156" s="355">
        <v>0</v>
      </c>
      <c r="AD156" s="358">
        <v>2210</v>
      </c>
      <c r="AE156" s="355">
        <v>0</v>
      </c>
      <c r="AF156" s="358">
        <v>0</v>
      </c>
      <c r="AG156" s="355">
        <v>0</v>
      </c>
      <c r="AH156" s="358">
        <v>1452</v>
      </c>
      <c r="AI156" s="355"/>
      <c r="AJ156" s="358">
        <v>3662</v>
      </c>
      <c r="AK156" s="356">
        <v>0</v>
      </c>
      <c r="AL156" s="358">
        <v>8819</v>
      </c>
      <c r="AM156" s="356">
        <v>0</v>
      </c>
      <c r="AO156" s="358">
        <v>0</v>
      </c>
      <c r="AP156" s="355">
        <v>0</v>
      </c>
      <c r="AQ156" s="358">
        <v>2376</v>
      </c>
      <c r="AR156" s="355">
        <v>0</v>
      </c>
      <c r="AS156" s="358">
        <v>2376</v>
      </c>
      <c r="AT156" s="355"/>
      <c r="AU156" s="358">
        <v>4752</v>
      </c>
      <c r="AV156" s="356">
        <v>0</v>
      </c>
    </row>
    <row r="157" spans="2:48" x14ac:dyDescent="0.25">
      <c r="B157" s="359" t="s">
        <v>489</v>
      </c>
      <c r="C157" t="s">
        <v>488</v>
      </c>
      <c r="D157" t="s">
        <v>951</v>
      </c>
      <c r="E157" s="353">
        <v>3783</v>
      </c>
      <c r="F157" s="354">
        <v>897</v>
      </c>
      <c r="G157" s="355">
        <v>0</v>
      </c>
      <c r="H157" s="356">
        <v>0</v>
      </c>
      <c r="I157" s="353">
        <v>2940</v>
      </c>
      <c r="J157" s="354">
        <v>1470</v>
      </c>
      <c r="K157" s="355">
        <v>0</v>
      </c>
      <c r="L157" s="356">
        <v>0</v>
      </c>
      <c r="M157" s="353">
        <v>3399</v>
      </c>
      <c r="N157" s="354">
        <v>1254</v>
      </c>
      <c r="O157" s="355"/>
      <c r="P157" s="356"/>
      <c r="Q157" s="353">
        <v>10122</v>
      </c>
      <c r="R157" s="357">
        <v>3621</v>
      </c>
      <c r="S157" s="355">
        <v>0</v>
      </c>
      <c r="T157" s="356">
        <v>0</v>
      </c>
      <c r="V157" s="358">
        <v>780</v>
      </c>
      <c r="W157" s="355">
        <v>0</v>
      </c>
      <c r="X157" s="358">
        <v>420</v>
      </c>
      <c r="Y157" s="355">
        <v>0</v>
      </c>
      <c r="Z157" s="358">
        <v>792</v>
      </c>
      <c r="AA157" s="355"/>
      <c r="AB157" s="354">
        <v>1992</v>
      </c>
      <c r="AC157" s="355">
        <v>0</v>
      </c>
      <c r="AD157" s="358">
        <v>1287</v>
      </c>
      <c r="AE157" s="355">
        <v>0</v>
      </c>
      <c r="AF157" s="358">
        <v>840</v>
      </c>
      <c r="AG157" s="355">
        <v>0</v>
      </c>
      <c r="AH157" s="358">
        <v>1023</v>
      </c>
      <c r="AI157" s="355"/>
      <c r="AJ157" s="358">
        <v>3150</v>
      </c>
      <c r="AK157" s="356">
        <v>0</v>
      </c>
      <c r="AL157" s="358">
        <v>5142</v>
      </c>
      <c r="AM157" s="356">
        <v>0</v>
      </c>
      <c r="AO157" s="358">
        <v>0</v>
      </c>
      <c r="AP157" s="355">
        <v>0</v>
      </c>
      <c r="AQ157" s="358">
        <v>165</v>
      </c>
      <c r="AR157" s="355">
        <v>0</v>
      </c>
      <c r="AS157" s="358">
        <v>165</v>
      </c>
      <c r="AT157" s="355"/>
      <c r="AU157" s="358">
        <v>330</v>
      </c>
      <c r="AV157" s="356">
        <v>0</v>
      </c>
    </row>
    <row r="158" spans="2:48" x14ac:dyDescent="0.25">
      <c r="B158" s="359" t="s">
        <v>491</v>
      </c>
      <c r="C158" t="s">
        <v>490</v>
      </c>
      <c r="D158" t="s">
        <v>952</v>
      </c>
      <c r="E158" s="353">
        <v>4290</v>
      </c>
      <c r="F158" s="354">
        <v>2535</v>
      </c>
      <c r="G158" s="355">
        <v>0</v>
      </c>
      <c r="H158" s="356">
        <v>0</v>
      </c>
      <c r="I158" s="353">
        <v>2730</v>
      </c>
      <c r="J158" s="354">
        <v>1260</v>
      </c>
      <c r="K158" s="355">
        <v>0</v>
      </c>
      <c r="L158" s="356">
        <v>0</v>
      </c>
      <c r="M158" s="353">
        <v>2970</v>
      </c>
      <c r="N158" s="354">
        <v>1815</v>
      </c>
      <c r="O158" s="355"/>
      <c r="P158" s="356"/>
      <c r="Q158" s="353">
        <v>9990</v>
      </c>
      <c r="R158" s="357">
        <v>5610</v>
      </c>
      <c r="S158" s="355">
        <v>0</v>
      </c>
      <c r="T158" s="356">
        <v>0</v>
      </c>
      <c r="V158" s="358">
        <v>1170</v>
      </c>
      <c r="W158" s="355">
        <v>0</v>
      </c>
      <c r="X158" s="358">
        <v>630</v>
      </c>
      <c r="Y158" s="355">
        <v>0</v>
      </c>
      <c r="Z158" s="358">
        <v>825</v>
      </c>
      <c r="AA158" s="355"/>
      <c r="AB158" s="354">
        <v>2625</v>
      </c>
      <c r="AC158" s="355">
        <v>0</v>
      </c>
      <c r="AD158" s="358">
        <v>3510</v>
      </c>
      <c r="AE158" s="355">
        <v>0</v>
      </c>
      <c r="AF158" s="358">
        <v>1890</v>
      </c>
      <c r="AG158" s="355">
        <v>0</v>
      </c>
      <c r="AH158" s="358">
        <v>2640</v>
      </c>
      <c r="AI158" s="355"/>
      <c r="AJ158" s="358">
        <v>8040</v>
      </c>
      <c r="AK158" s="356">
        <v>0</v>
      </c>
      <c r="AL158" s="358">
        <v>10665</v>
      </c>
      <c r="AM158" s="356">
        <v>0</v>
      </c>
      <c r="AO158" s="358">
        <v>0</v>
      </c>
      <c r="AP158" s="355">
        <v>0</v>
      </c>
      <c r="AQ158" s="358">
        <v>0</v>
      </c>
      <c r="AR158" s="355">
        <v>0</v>
      </c>
      <c r="AS158" s="358">
        <v>0</v>
      </c>
      <c r="AT158" s="355"/>
      <c r="AU158" s="358">
        <v>0</v>
      </c>
      <c r="AV158" s="356">
        <v>0</v>
      </c>
    </row>
    <row r="159" spans="2:48" x14ac:dyDescent="0.25">
      <c r="B159" s="359" t="s">
        <v>492</v>
      </c>
      <c r="C159">
        <v>206106</v>
      </c>
      <c r="D159" t="s">
        <v>953</v>
      </c>
      <c r="E159" s="353">
        <v>4560.9644736842101</v>
      </c>
      <c r="F159" s="354">
        <v>3322.9128947368408</v>
      </c>
      <c r="G159" s="355">
        <v>0</v>
      </c>
      <c r="H159" s="356">
        <v>0</v>
      </c>
      <c r="I159" s="353">
        <v>2553.677368421053</v>
      </c>
      <c r="J159" s="354">
        <v>2085.2631578947367</v>
      </c>
      <c r="K159" s="355">
        <v>0</v>
      </c>
      <c r="L159" s="356">
        <v>0</v>
      </c>
      <c r="M159" s="353">
        <v>3086.0384210526313</v>
      </c>
      <c r="N159" s="354">
        <v>2416.7752631578942</v>
      </c>
      <c r="O159" s="355"/>
      <c r="P159" s="356"/>
      <c r="Q159" s="353">
        <v>10200.680263157894</v>
      </c>
      <c r="R159" s="357">
        <v>7824.9513157894717</v>
      </c>
      <c r="S159" s="355">
        <v>0</v>
      </c>
      <c r="T159" s="356">
        <v>0</v>
      </c>
      <c r="V159" s="358">
        <v>1604.8089473684211</v>
      </c>
      <c r="W159" s="355">
        <v>0</v>
      </c>
      <c r="X159" s="358">
        <v>961.45736842105259</v>
      </c>
      <c r="Y159" s="355">
        <v>0</v>
      </c>
      <c r="Z159" s="358">
        <v>890.80894736842106</v>
      </c>
      <c r="AA159" s="355"/>
      <c r="AB159" s="354">
        <v>3457.0752631578944</v>
      </c>
      <c r="AC159" s="355">
        <v>0</v>
      </c>
      <c r="AD159" s="358">
        <v>1956.4692105263157</v>
      </c>
      <c r="AE159" s="355">
        <v>0</v>
      </c>
      <c r="AF159" s="358">
        <v>1240.1052631578946</v>
      </c>
      <c r="AG159" s="355">
        <v>0</v>
      </c>
      <c r="AH159" s="358">
        <v>1594.9073684210525</v>
      </c>
      <c r="AI159" s="355"/>
      <c r="AJ159" s="358">
        <v>4791.4818421052623</v>
      </c>
      <c r="AK159" s="356">
        <v>0</v>
      </c>
      <c r="AL159" s="358">
        <v>8248.5571052631567</v>
      </c>
      <c r="AM159" s="356">
        <v>0</v>
      </c>
      <c r="AO159" s="358">
        <v>0</v>
      </c>
      <c r="AP159" s="355">
        <v>0</v>
      </c>
      <c r="AQ159" s="358">
        <v>329.808947368421</v>
      </c>
      <c r="AR159" s="355">
        <v>0</v>
      </c>
      <c r="AS159" s="358">
        <v>329.808947368421</v>
      </c>
      <c r="AT159" s="355"/>
      <c r="AU159" s="358">
        <v>659.617894736842</v>
      </c>
      <c r="AV159" s="356">
        <v>0</v>
      </c>
    </row>
    <row r="160" spans="2:48" x14ac:dyDescent="0.25">
      <c r="B160" s="359" t="s">
        <v>496</v>
      </c>
      <c r="C160" t="s">
        <v>495</v>
      </c>
      <c r="D160" t="s">
        <v>954</v>
      </c>
      <c r="E160" s="353">
        <v>6565</v>
      </c>
      <c r="F160" s="354">
        <v>975</v>
      </c>
      <c r="G160" s="355">
        <v>0</v>
      </c>
      <c r="H160" s="356">
        <v>0</v>
      </c>
      <c r="I160" s="353">
        <v>3360</v>
      </c>
      <c r="J160" s="354">
        <v>420</v>
      </c>
      <c r="K160" s="355">
        <v>0</v>
      </c>
      <c r="L160" s="356">
        <v>0</v>
      </c>
      <c r="M160" s="353">
        <v>2970</v>
      </c>
      <c r="N160" s="354">
        <v>990</v>
      </c>
      <c r="O160" s="355"/>
      <c r="P160" s="356"/>
      <c r="Q160" s="353">
        <v>12895</v>
      </c>
      <c r="R160" s="357">
        <v>2385</v>
      </c>
      <c r="S160" s="355">
        <v>0</v>
      </c>
      <c r="T160" s="356">
        <v>0</v>
      </c>
      <c r="V160" s="358">
        <v>4810</v>
      </c>
      <c r="W160" s="355">
        <v>0</v>
      </c>
      <c r="X160" s="358">
        <v>2100</v>
      </c>
      <c r="Y160" s="355">
        <v>0</v>
      </c>
      <c r="Z160" s="358">
        <v>1815</v>
      </c>
      <c r="AA160" s="355"/>
      <c r="AB160" s="354">
        <v>8725</v>
      </c>
      <c r="AC160" s="355">
        <v>0</v>
      </c>
      <c r="AD160" s="358">
        <v>975</v>
      </c>
      <c r="AE160" s="355">
        <v>0</v>
      </c>
      <c r="AF160" s="358">
        <v>840</v>
      </c>
      <c r="AG160" s="355">
        <v>0</v>
      </c>
      <c r="AH160" s="358">
        <v>330</v>
      </c>
      <c r="AI160" s="355"/>
      <c r="AJ160" s="358">
        <v>2145</v>
      </c>
      <c r="AK160" s="356">
        <v>0</v>
      </c>
      <c r="AL160" s="358">
        <v>10870</v>
      </c>
      <c r="AM160" s="356">
        <v>0</v>
      </c>
      <c r="AO160" s="358">
        <v>0</v>
      </c>
      <c r="AP160" s="355">
        <v>0</v>
      </c>
      <c r="AQ160" s="358">
        <v>2145</v>
      </c>
      <c r="AR160" s="355">
        <v>0</v>
      </c>
      <c r="AS160" s="358">
        <v>2145</v>
      </c>
      <c r="AT160" s="355"/>
      <c r="AU160" s="358">
        <v>4290</v>
      </c>
      <c r="AV160" s="356">
        <v>0</v>
      </c>
    </row>
    <row r="161" spans="2:48" x14ac:dyDescent="0.25">
      <c r="B161" s="359" t="s">
        <v>498</v>
      </c>
      <c r="C161" t="s">
        <v>497</v>
      </c>
      <c r="D161" t="s">
        <v>955</v>
      </c>
      <c r="E161" s="353">
        <v>1755</v>
      </c>
      <c r="F161" s="354">
        <v>689</v>
      </c>
      <c r="G161" s="355">
        <v>0</v>
      </c>
      <c r="H161" s="356">
        <v>0</v>
      </c>
      <c r="I161" s="353">
        <v>1470</v>
      </c>
      <c r="J161" s="354">
        <v>798</v>
      </c>
      <c r="K161" s="355">
        <v>0</v>
      </c>
      <c r="L161" s="356">
        <v>0</v>
      </c>
      <c r="M161" s="353">
        <v>825</v>
      </c>
      <c r="N161" s="354">
        <v>330</v>
      </c>
      <c r="O161" s="355"/>
      <c r="P161" s="356"/>
      <c r="Q161" s="353">
        <v>4050</v>
      </c>
      <c r="R161" s="357">
        <v>1817</v>
      </c>
      <c r="S161" s="355">
        <v>0</v>
      </c>
      <c r="T161" s="356">
        <v>0</v>
      </c>
      <c r="V161" s="358">
        <v>0</v>
      </c>
      <c r="W161" s="355">
        <v>0</v>
      </c>
      <c r="X161" s="358">
        <v>0</v>
      </c>
      <c r="Y161" s="355">
        <v>0</v>
      </c>
      <c r="Z161" s="358">
        <v>0</v>
      </c>
      <c r="AA161" s="355"/>
      <c r="AB161" s="354">
        <v>0</v>
      </c>
      <c r="AC161" s="355">
        <v>0</v>
      </c>
      <c r="AD161" s="358">
        <v>1079</v>
      </c>
      <c r="AE161" s="355">
        <v>0</v>
      </c>
      <c r="AF161" s="358">
        <v>1050</v>
      </c>
      <c r="AG161" s="355">
        <v>0</v>
      </c>
      <c r="AH161" s="358">
        <v>495</v>
      </c>
      <c r="AI161" s="355"/>
      <c r="AJ161" s="358">
        <v>2624</v>
      </c>
      <c r="AK161" s="356">
        <v>0</v>
      </c>
      <c r="AL161" s="358">
        <v>2624</v>
      </c>
      <c r="AM161" s="356">
        <v>0</v>
      </c>
      <c r="AO161" s="358">
        <v>0</v>
      </c>
      <c r="AP161" s="355">
        <v>0</v>
      </c>
      <c r="AQ161" s="358">
        <v>0</v>
      </c>
      <c r="AR161" s="355">
        <v>0</v>
      </c>
      <c r="AS161" s="358">
        <v>0</v>
      </c>
      <c r="AT161" s="355"/>
      <c r="AU161" s="358">
        <v>0</v>
      </c>
      <c r="AV161" s="356">
        <v>0</v>
      </c>
    </row>
    <row r="162" spans="2:48" x14ac:dyDescent="0.25">
      <c r="B162" s="359" t="s">
        <v>500</v>
      </c>
      <c r="C162" t="s">
        <v>499</v>
      </c>
      <c r="D162" t="s">
        <v>956</v>
      </c>
      <c r="E162" s="353">
        <v>5288.605263157895</v>
      </c>
      <c r="F162" s="354">
        <v>3784.0263157894733</v>
      </c>
      <c r="G162" s="355">
        <v>0</v>
      </c>
      <c r="H162" s="356">
        <v>0</v>
      </c>
      <c r="I162" s="353">
        <v>3960.1578947368425</v>
      </c>
      <c r="J162" s="354">
        <v>1643.526315789474</v>
      </c>
      <c r="K162" s="355">
        <v>0</v>
      </c>
      <c r="L162" s="356">
        <v>0</v>
      </c>
      <c r="M162" s="353">
        <v>4071.1578947368421</v>
      </c>
      <c r="N162" s="354">
        <v>2448.0789473684213</v>
      </c>
      <c r="O162" s="355"/>
      <c r="P162" s="356"/>
      <c r="Q162" s="353">
        <v>13319.921052631578</v>
      </c>
      <c r="R162" s="357">
        <v>7875.6315789473683</v>
      </c>
      <c r="S162" s="355">
        <v>0</v>
      </c>
      <c r="T162" s="356">
        <v>0</v>
      </c>
      <c r="V162" s="358">
        <v>3932.8421052631584</v>
      </c>
      <c r="W162" s="355">
        <v>0</v>
      </c>
      <c r="X162" s="358">
        <v>1779.4736842105262</v>
      </c>
      <c r="Y162" s="355">
        <v>0</v>
      </c>
      <c r="Z162" s="358">
        <v>2801.5263157894733</v>
      </c>
      <c r="AA162" s="355"/>
      <c r="AB162" s="354">
        <v>8513.8421052631584</v>
      </c>
      <c r="AC162" s="355">
        <v>0</v>
      </c>
      <c r="AD162" s="358">
        <v>3385.8157894736842</v>
      </c>
      <c r="AE162" s="355">
        <v>0</v>
      </c>
      <c r="AF162" s="358">
        <v>2464.7368421052633</v>
      </c>
      <c r="AG162" s="355">
        <v>0</v>
      </c>
      <c r="AH162" s="358">
        <v>2699.9210526315783</v>
      </c>
      <c r="AI162" s="355"/>
      <c r="AJ162" s="358">
        <v>8550.4736842105267</v>
      </c>
      <c r="AK162" s="356">
        <v>0</v>
      </c>
      <c r="AL162" s="358">
        <v>17064.315789473687</v>
      </c>
      <c r="AM162" s="356">
        <v>0</v>
      </c>
      <c r="AO162" s="358">
        <v>626.68421052631584</v>
      </c>
      <c r="AP162" s="355">
        <v>0</v>
      </c>
      <c r="AQ162" s="358">
        <v>624.3947368421052</v>
      </c>
      <c r="AR162" s="355">
        <v>0</v>
      </c>
      <c r="AS162" s="358">
        <v>624.3947368421052</v>
      </c>
      <c r="AT162" s="355"/>
      <c r="AU162" s="358">
        <v>1875.4736842105262</v>
      </c>
      <c r="AV162" s="356">
        <v>0</v>
      </c>
    </row>
    <row r="163" spans="2:48" x14ac:dyDescent="0.25">
      <c r="B163" s="359" t="s">
        <v>1027</v>
      </c>
      <c r="C163" t="s">
        <v>1339</v>
      </c>
      <c r="D163" t="s">
        <v>1339</v>
      </c>
      <c r="E163" s="353">
        <v>4795.7581578947365</v>
      </c>
      <c r="F163" s="354">
        <v>2522.8894736842103</v>
      </c>
      <c r="G163" s="355">
        <v>0</v>
      </c>
      <c r="H163" s="356">
        <v>0</v>
      </c>
      <c r="I163" s="353">
        <v>5004.4149473684192</v>
      </c>
      <c r="J163" s="354">
        <v>2975.7368421052629</v>
      </c>
      <c r="K163" s="355">
        <v>0</v>
      </c>
      <c r="L163" s="356">
        <v>0</v>
      </c>
      <c r="M163" s="353">
        <v>3694.9492105263153</v>
      </c>
      <c r="N163" s="354">
        <v>1952.4044736842104</v>
      </c>
      <c r="O163" s="355"/>
      <c r="P163" s="356"/>
      <c r="Q163" s="353">
        <v>13495.122315789471</v>
      </c>
      <c r="R163" s="357">
        <v>7451.0307894736843</v>
      </c>
      <c r="S163" s="355">
        <v>0</v>
      </c>
      <c r="T163" s="356">
        <v>0</v>
      </c>
      <c r="V163" s="358">
        <v>1893.5526315789473</v>
      </c>
      <c r="W163" s="355">
        <v>0</v>
      </c>
      <c r="X163" s="358">
        <v>1001</v>
      </c>
      <c r="Y163" s="355">
        <v>0</v>
      </c>
      <c r="Z163" s="358">
        <v>1602.2368421052631</v>
      </c>
      <c r="AA163" s="355"/>
      <c r="AB163" s="354">
        <v>4496.7894736842109</v>
      </c>
      <c r="AC163" s="355">
        <v>0</v>
      </c>
      <c r="AD163" s="358">
        <v>390</v>
      </c>
      <c r="AE163" s="355">
        <v>0</v>
      </c>
      <c r="AF163" s="358">
        <v>2025.5317894736843</v>
      </c>
      <c r="AG163" s="355">
        <v>0</v>
      </c>
      <c r="AH163" s="358">
        <v>164.9044736842105</v>
      </c>
      <c r="AI163" s="355"/>
      <c r="AJ163" s="358">
        <v>2580.4362631578952</v>
      </c>
      <c r="AK163" s="356">
        <v>0</v>
      </c>
      <c r="AL163" s="358">
        <v>7077.225736842106</v>
      </c>
      <c r="AM163" s="356">
        <v>0</v>
      </c>
      <c r="AO163" s="358">
        <v>0</v>
      </c>
      <c r="AP163" s="355">
        <v>0</v>
      </c>
      <c r="AQ163" s="358">
        <v>0</v>
      </c>
      <c r="AR163" s="355">
        <v>0</v>
      </c>
      <c r="AS163" s="358">
        <v>0</v>
      </c>
      <c r="AT163" s="355"/>
      <c r="AU163" s="358">
        <v>0</v>
      </c>
      <c r="AV163" s="356">
        <v>0</v>
      </c>
    </row>
    <row r="164" spans="2:48" x14ac:dyDescent="0.25">
      <c r="B164" s="359" t="s">
        <v>1028</v>
      </c>
      <c r="C164" t="s">
        <v>1340</v>
      </c>
      <c r="D164" t="s">
        <v>1340</v>
      </c>
      <c r="E164" s="353">
        <v>1676.9486842105264</v>
      </c>
      <c r="F164" s="354">
        <v>234</v>
      </c>
      <c r="G164" s="355">
        <v>0</v>
      </c>
      <c r="H164" s="356">
        <v>0</v>
      </c>
      <c r="I164" s="353">
        <v>0</v>
      </c>
      <c r="J164" s="354">
        <v>0</v>
      </c>
      <c r="K164" s="355">
        <v>0</v>
      </c>
      <c r="L164" s="356">
        <v>0</v>
      </c>
      <c r="M164" s="353">
        <v>0</v>
      </c>
      <c r="N164" s="354">
        <v>0</v>
      </c>
      <c r="O164" s="355"/>
      <c r="P164" s="356"/>
      <c r="Q164" s="353">
        <v>1676.9486842105264</v>
      </c>
      <c r="R164" s="357">
        <v>234</v>
      </c>
      <c r="S164" s="355">
        <v>0</v>
      </c>
      <c r="T164" s="356">
        <v>0</v>
      </c>
      <c r="V164" s="358">
        <v>702.06157894736839</v>
      </c>
      <c r="W164" s="355">
        <v>0</v>
      </c>
      <c r="X164" s="358">
        <v>0</v>
      </c>
      <c r="Y164" s="355">
        <v>0</v>
      </c>
      <c r="Z164" s="358">
        <v>0</v>
      </c>
      <c r="AA164" s="355"/>
      <c r="AB164" s="354">
        <v>702.06157894736839</v>
      </c>
      <c r="AC164" s="355">
        <v>0</v>
      </c>
      <c r="AD164" s="358">
        <v>195</v>
      </c>
      <c r="AE164" s="355">
        <v>0</v>
      </c>
      <c r="AF164" s="358">
        <v>0</v>
      </c>
      <c r="AG164" s="355">
        <v>0</v>
      </c>
      <c r="AH164" s="358">
        <v>0</v>
      </c>
      <c r="AI164" s="355"/>
      <c r="AJ164" s="358">
        <v>195</v>
      </c>
      <c r="AK164" s="356">
        <v>0</v>
      </c>
      <c r="AL164" s="358">
        <v>897.06157894736839</v>
      </c>
      <c r="AM164" s="356">
        <v>0</v>
      </c>
      <c r="AO164" s="358">
        <v>0</v>
      </c>
      <c r="AP164" s="355">
        <v>0</v>
      </c>
      <c r="AQ164" s="358">
        <v>0</v>
      </c>
      <c r="AR164" s="355">
        <v>0</v>
      </c>
      <c r="AS164" s="358">
        <v>0</v>
      </c>
      <c r="AT164" s="355"/>
      <c r="AU164" s="358">
        <v>0</v>
      </c>
      <c r="AV164" s="356">
        <v>0</v>
      </c>
    </row>
    <row r="165" spans="2:48" x14ac:dyDescent="0.25">
      <c r="B165" s="359" t="s">
        <v>501</v>
      </c>
      <c r="C165">
        <v>206134</v>
      </c>
      <c r="D165" t="s">
        <v>959</v>
      </c>
      <c r="E165" s="353">
        <v>4784</v>
      </c>
      <c r="F165" s="354">
        <v>1404</v>
      </c>
      <c r="G165" s="355">
        <v>0</v>
      </c>
      <c r="H165" s="356">
        <v>0</v>
      </c>
      <c r="I165" s="353">
        <v>2604</v>
      </c>
      <c r="J165" s="354">
        <v>1162</v>
      </c>
      <c r="K165" s="355">
        <v>0</v>
      </c>
      <c r="L165" s="356">
        <v>0</v>
      </c>
      <c r="M165" s="353">
        <v>4158</v>
      </c>
      <c r="N165" s="354">
        <v>891</v>
      </c>
      <c r="O165" s="355"/>
      <c r="P165" s="356"/>
      <c r="Q165" s="353">
        <v>11546</v>
      </c>
      <c r="R165" s="357">
        <v>3457</v>
      </c>
      <c r="S165" s="355">
        <v>0</v>
      </c>
      <c r="T165" s="356">
        <v>0</v>
      </c>
      <c r="V165" s="358">
        <v>351</v>
      </c>
      <c r="W165" s="355">
        <v>0</v>
      </c>
      <c r="X165" s="358">
        <v>252</v>
      </c>
      <c r="Y165" s="355">
        <v>0</v>
      </c>
      <c r="Z165" s="358">
        <v>297</v>
      </c>
      <c r="AA165" s="355"/>
      <c r="AB165" s="354">
        <v>900</v>
      </c>
      <c r="AC165" s="355">
        <v>0</v>
      </c>
      <c r="AD165" s="358">
        <v>702</v>
      </c>
      <c r="AE165" s="355">
        <v>0</v>
      </c>
      <c r="AF165" s="358">
        <v>0</v>
      </c>
      <c r="AG165" s="355">
        <v>0</v>
      </c>
      <c r="AH165" s="358">
        <v>594</v>
      </c>
      <c r="AI165" s="355"/>
      <c r="AJ165" s="358">
        <v>1296</v>
      </c>
      <c r="AK165" s="356">
        <v>0</v>
      </c>
      <c r="AL165" s="358">
        <v>2196</v>
      </c>
      <c r="AM165" s="356">
        <v>0</v>
      </c>
      <c r="AO165" s="358">
        <v>210</v>
      </c>
      <c r="AP165" s="355">
        <v>0</v>
      </c>
      <c r="AQ165" s="358">
        <v>726</v>
      </c>
      <c r="AR165" s="355">
        <v>0</v>
      </c>
      <c r="AS165" s="358">
        <v>726</v>
      </c>
      <c r="AT165" s="355"/>
      <c r="AU165" s="358">
        <v>1662</v>
      </c>
      <c r="AV165" s="356"/>
    </row>
    <row r="166" spans="2:48" x14ac:dyDescent="0.25">
      <c r="B166" s="359" t="s">
        <v>960</v>
      </c>
      <c r="C166" t="s">
        <v>961</v>
      </c>
      <c r="D166" t="s">
        <v>961</v>
      </c>
      <c r="E166" s="353">
        <v>0</v>
      </c>
      <c r="F166" s="354">
        <v>0</v>
      </c>
      <c r="G166" s="355">
        <v>0</v>
      </c>
      <c r="H166" s="356">
        <v>0</v>
      </c>
      <c r="I166" s="353">
        <v>0</v>
      </c>
      <c r="J166" s="354">
        <v>0</v>
      </c>
      <c r="K166" s="355">
        <v>0</v>
      </c>
      <c r="L166" s="356">
        <v>0</v>
      </c>
      <c r="M166" s="353">
        <v>0</v>
      </c>
      <c r="N166" s="354">
        <v>0</v>
      </c>
      <c r="O166" s="355"/>
      <c r="P166" s="356"/>
      <c r="Q166" s="353">
        <v>0</v>
      </c>
      <c r="R166" s="357">
        <v>0</v>
      </c>
      <c r="S166" s="355">
        <v>0</v>
      </c>
      <c r="T166" s="356">
        <v>0</v>
      </c>
      <c r="V166" s="358">
        <v>0</v>
      </c>
      <c r="W166" s="355">
        <v>0</v>
      </c>
      <c r="X166" s="358">
        <v>0</v>
      </c>
      <c r="Y166" s="355">
        <v>0</v>
      </c>
      <c r="Z166" s="358">
        <v>0</v>
      </c>
      <c r="AA166" s="355"/>
      <c r="AB166" s="354">
        <v>0</v>
      </c>
      <c r="AC166" s="355">
        <v>0</v>
      </c>
      <c r="AD166" s="358">
        <v>0</v>
      </c>
      <c r="AE166" s="355">
        <v>0</v>
      </c>
      <c r="AF166" s="358">
        <v>0</v>
      </c>
      <c r="AG166" s="355">
        <v>0</v>
      </c>
      <c r="AH166" s="358">
        <v>0</v>
      </c>
      <c r="AI166" s="355"/>
      <c r="AJ166" s="358">
        <v>0</v>
      </c>
      <c r="AK166" s="356">
        <v>0</v>
      </c>
      <c r="AL166" s="358">
        <v>0</v>
      </c>
      <c r="AM166" s="356">
        <v>0</v>
      </c>
      <c r="AO166" s="358">
        <v>0</v>
      </c>
      <c r="AP166" s="355">
        <v>0</v>
      </c>
      <c r="AQ166" s="358">
        <v>0</v>
      </c>
      <c r="AR166" s="355">
        <v>0</v>
      </c>
      <c r="AS166" s="358">
        <v>0</v>
      </c>
      <c r="AT166" s="355"/>
      <c r="AU166" s="358">
        <v>0</v>
      </c>
      <c r="AV166" s="356">
        <v>0</v>
      </c>
    </row>
    <row r="167" spans="2:48" x14ac:dyDescent="0.25">
      <c r="B167" s="359" t="s">
        <v>504</v>
      </c>
      <c r="C167">
        <v>206109</v>
      </c>
      <c r="D167" t="s">
        <v>962</v>
      </c>
      <c r="E167" s="353">
        <v>6688.0757894736835</v>
      </c>
      <c r="F167" s="354">
        <v>3766.4421052631578</v>
      </c>
      <c r="G167" s="355">
        <v>0</v>
      </c>
      <c r="H167" s="356">
        <v>0</v>
      </c>
      <c r="I167" s="353">
        <v>3820.8357894736846</v>
      </c>
      <c r="J167" s="354">
        <v>2862.911578947369</v>
      </c>
      <c r="K167" s="355">
        <v>0</v>
      </c>
      <c r="L167" s="356">
        <v>0</v>
      </c>
      <c r="M167" s="353">
        <v>5100.3410526315793</v>
      </c>
      <c r="N167" s="354">
        <v>2306.5031578947369</v>
      </c>
      <c r="O167" s="355"/>
      <c r="P167" s="356"/>
      <c r="Q167" s="353">
        <v>15609.252631578947</v>
      </c>
      <c r="R167" s="357">
        <v>8935.8568421052641</v>
      </c>
      <c r="S167" s="355">
        <v>0</v>
      </c>
      <c r="T167" s="356">
        <v>0</v>
      </c>
      <c r="V167" s="358">
        <v>779.94526315789483</v>
      </c>
      <c r="W167" s="355">
        <v>0</v>
      </c>
      <c r="X167" s="358">
        <v>209.9705263157895</v>
      </c>
      <c r="Y167" s="355">
        <v>0</v>
      </c>
      <c r="Z167" s="358">
        <v>330</v>
      </c>
      <c r="AA167" s="355"/>
      <c r="AB167" s="354">
        <v>1319.9157894736843</v>
      </c>
      <c r="AC167" s="355">
        <v>0</v>
      </c>
      <c r="AD167" s="358">
        <v>2305.7894736842104</v>
      </c>
      <c r="AE167" s="355">
        <v>0</v>
      </c>
      <c r="AF167" s="358">
        <v>1750</v>
      </c>
      <c r="AG167" s="355">
        <v>0</v>
      </c>
      <c r="AH167" s="358">
        <v>1540</v>
      </c>
      <c r="AI167" s="355"/>
      <c r="AJ167" s="358">
        <v>5595.78947368421</v>
      </c>
      <c r="AK167" s="356">
        <v>0</v>
      </c>
      <c r="AL167" s="358">
        <v>6915.7052631578945</v>
      </c>
      <c r="AM167" s="356">
        <v>0</v>
      </c>
      <c r="AO167" s="358">
        <v>0</v>
      </c>
      <c r="AP167" s="355">
        <v>0</v>
      </c>
      <c r="AQ167" s="358">
        <v>165</v>
      </c>
      <c r="AR167" s="355">
        <v>0</v>
      </c>
      <c r="AS167" s="358">
        <v>165</v>
      </c>
      <c r="AT167" s="355"/>
      <c r="AU167" s="358">
        <v>330</v>
      </c>
      <c r="AV167" s="356">
        <v>0</v>
      </c>
    </row>
    <row r="168" spans="2:48" x14ac:dyDescent="0.25">
      <c r="B168" s="359" t="s">
        <v>514</v>
      </c>
      <c r="C168" t="s">
        <v>513</v>
      </c>
      <c r="D168" t="s">
        <v>963</v>
      </c>
      <c r="E168" s="353">
        <v>5811</v>
      </c>
      <c r="F168" s="354">
        <v>1365</v>
      </c>
      <c r="G168" s="355">
        <v>0</v>
      </c>
      <c r="H168" s="356">
        <v>0</v>
      </c>
      <c r="I168" s="353">
        <v>3990</v>
      </c>
      <c r="J168" s="354">
        <v>1260</v>
      </c>
      <c r="K168" s="355">
        <v>0</v>
      </c>
      <c r="L168" s="356">
        <v>0</v>
      </c>
      <c r="M168" s="353">
        <v>3960</v>
      </c>
      <c r="N168" s="354">
        <v>660</v>
      </c>
      <c r="O168" s="355"/>
      <c r="P168" s="356"/>
      <c r="Q168" s="353">
        <v>13761</v>
      </c>
      <c r="R168" s="357">
        <v>3285</v>
      </c>
      <c r="S168" s="355">
        <v>0</v>
      </c>
      <c r="T168" s="356">
        <v>0</v>
      </c>
      <c r="V168" s="358">
        <v>4680</v>
      </c>
      <c r="W168" s="355">
        <v>0</v>
      </c>
      <c r="X168" s="358">
        <v>3990</v>
      </c>
      <c r="Y168" s="355">
        <v>0</v>
      </c>
      <c r="Z168" s="358">
        <v>2970</v>
      </c>
      <c r="AA168" s="355"/>
      <c r="AB168" s="354">
        <v>11640</v>
      </c>
      <c r="AC168" s="355">
        <v>0</v>
      </c>
      <c r="AD168" s="358">
        <v>975</v>
      </c>
      <c r="AE168" s="355">
        <v>0</v>
      </c>
      <c r="AF168" s="358">
        <v>420</v>
      </c>
      <c r="AG168" s="355">
        <v>0</v>
      </c>
      <c r="AH168" s="358">
        <v>990</v>
      </c>
      <c r="AI168" s="355"/>
      <c r="AJ168" s="358">
        <v>2385</v>
      </c>
      <c r="AK168" s="356">
        <v>0</v>
      </c>
      <c r="AL168" s="358">
        <v>14025</v>
      </c>
      <c r="AM168" s="356">
        <v>0</v>
      </c>
      <c r="AO168" s="358">
        <v>210</v>
      </c>
      <c r="AP168" s="355">
        <v>0</v>
      </c>
      <c r="AQ168" s="358">
        <v>660</v>
      </c>
      <c r="AR168" s="355">
        <v>0</v>
      </c>
      <c r="AS168" s="358">
        <v>660</v>
      </c>
      <c r="AT168" s="355"/>
      <c r="AU168" s="358">
        <v>1530</v>
      </c>
      <c r="AV168" s="356">
        <v>0</v>
      </c>
    </row>
    <row r="169" spans="2:48" x14ac:dyDescent="0.25">
      <c r="B169" s="359" t="s">
        <v>1341</v>
      </c>
      <c r="C169" t="s">
        <v>1342</v>
      </c>
      <c r="D169" t="s">
        <v>1342</v>
      </c>
      <c r="E169" s="353">
        <v>0</v>
      </c>
      <c r="F169" s="354">
        <v>0</v>
      </c>
      <c r="G169" s="355">
        <v>0</v>
      </c>
      <c r="H169" s="356">
        <v>0</v>
      </c>
      <c r="I169" s="353">
        <v>1889.5136842105267</v>
      </c>
      <c r="J169" s="354">
        <v>657.7568421052631</v>
      </c>
      <c r="K169" s="355">
        <v>0</v>
      </c>
      <c r="L169" s="356">
        <v>0</v>
      </c>
      <c r="M169" s="353">
        <v>0</v>
      </c>
      <c r="N169" s="354">
        <v>0</v>
      </c>
      <c r="O169" s="355"/>
      <c r="P169" s="356"/>
      <c r="Q169" s="353">
        <v>1889.5136842105267</v>
      </c>
      <c r="R169" s="357">
        <v>657.7568421052631</v>
      </c>
      <c r="S169" s="355">
        <v>0</v>
      </c>
      <c r="T169" s="356">
        <v>0</v>
      </c>
      <c r="V169" s="358">
        <v>0</v>
      </c>
      <c r="W169" s="355">
        <v>0</v>
      </c>
      <c r="X169" s="358">
        <v>0</v>
      </c>
      <c r="Y169" s="355">
        <v>0</v>
      </c>
      <c r="Z169" s="358">
        <v>0</v>
      </c>
      <c r="AA169" s="355"/>
      <c r="AB169" s="354">
        <v>0</v>
      </c>
      <c r="AC169" s="355">
        <v>0</v>
      </c>
      <c r="AD169" s="358">
        <v>0</v>
      </c>
      <c r="AE169" s="355">
        <v>0</v>
      </c>
      <c r="AF169" s="358">
        <v>1287.8784210526314</v>
      </c>
      <c r="AG169" s="355">
        <v>0</v>
      </c>
      <c r="AH169" s="358">
        <v>0</v>
      </c>
      <c r="AI169" s="355"/>
      <c r="AJ169" s="358">
        <v>1287.8784210526314</v>
      </c>
      <c r="AK169" s="356">
        <v>0</v>
      </c>
      <c r="AL169" s="358">
        <v>1287.8784210526314</v>
      </c>
      <c r="AM169" s="356">
        <v>0</v>
      </c>
      <c r="AO169" s="358">
        <v>0</v>
      </c>
      <c r="AP169" s="355">
        <v>0</v>
      </c>
      <c r="AQ169" s="358">
        <v>0</v>
      </c>
      <c r="AR169" s="355">
        <v>0</v>
      </c>
      <c r="AS169" s="358">
        <v>0</v>
      </c>
      <c r="AT169" s="355"/>
      <c r="AU169" s="358">
        <v>0</v>
      </c>
      <c r="AV169" s="356">
        <v>0</v>
      </c>
    </row>
    <row r="170" spans="2:48" x14ac:dyDescent="0.25">
      <c r="B170" s="359" t="s">
        <v>507</v>
      </c>
      <c r="C170" t="s">
        <v>506</v>
      </c>
      <c r="D170" t="s">
        <v>964</v>
      </c>
      <c r="E170" s="353">
        <v>9165</v>
      </c>
      <c r="F170" s="354">
        <v>4777.5</v>
      </c>
      <c r="G170" s="355">
        <v>0</v>
      </c>
      <c r="H170" s="356">
        <v>0</v>
      </c>
      <c r="I170" s="353">
        <v>6930</v>
      </c>
      <c r="J170" s="354">
        <v>2905</v>
      </c>
      <c r="K170" s="355">
        <v>0</v>
      </c>
      <c r="L170" s="356">
        <v>0</v>
      </c>
      <c r="M170" s="353">
        <v>5280</v>
      </c>
      <c r="N170" s="354">
        <v>2959</v>
      </c>
      <c r="O170" s="355"/>
      <c r="P170" s="356"/>
      <c r="Q170" s="353">
        <v>21375</v>
      </c>
      <c r="R170" s="357">
        <v>10641.5</v>
      </c>
      <c r="S170" s="355">
        <v>0</v>
      </c>
      <c r="T170" s="356">
        <v>0</v>
      </c>
      <c r="V170" s="358">
        <v>1111.5</v>
      </c>
      <c r="W170" s="355">
        <v>0</v>
      </c>
      <c r="X170" s="358">
        <v>1029</v>
      </c>
      <c r="Y170" s="355">
        <v>0</v>
      </c>
      <c r="Z170" s="358">
        <v>990</v>
      </c>
      <c r="AA170" s="355"/>
      <c r="AB170" s="354">
        <v>3130.5</v>
      </c>
      <c r="AC170" s="355">
        <v>0</v>
      </c>
      <c r="AD170" s="358">
        <v>7683</v>
      </c>
      <c r="AE170" s="355">
        <v>0</v>
      </c>
      <c r="AF170" s="358">
        <v>5047</v>
      </c>
      <c r="AG170" s="355">
        <v>0</v>
      </c>
      <c r="AH170" s="358">
        <v>4543</v>
      </c>
      <c r="AI170" s="355"/>
      <c r="AJ170" s="358">
        <v>17273</v>
      </c>
      <c r="AK170" s="356">
        <v>0</v>
      </c>
      <c r="AL170" s="358">
        <v>20403.5</v>
      </c>
      <c r="AM170" s="356">
        <v>0</v>
      </c>
      <c r="AO170" s="358">
        <v>1449</v>
      </c>
      <c r="AP170" s="355">
        <v>0</v>
      </c>
      <c r="AQ170" s="358">
        <v>825</v>
      </c>
      <c r="AR170" s="355">
        <v>0</v>
      </c>
      <c r="AS170" s="358">
        <v>825</v>
      </c>
      <c r="AT170" s="355"/>
      <c r="AU170" s="358">
        <v>3099</v>
      </c>
      <c r="AV170" s="356">
        <v>0</v>
      </c>
    </row>
    <row r="171" spans="2:48" x14ac:dyDescent="0.25">
      <c r="B171" s="359" t="s">
        <v>1343</v>
      </c>
      <c r="C171" t="s">
        <v>1344</v>
      </c>
      <c r="D171" t="s">
        <v>1344</v>
      </c>
      <c r="E171" s="353">
        <v>0</v>
      </c>
      <c r="F171" s="354">
        <v>0</v>
      </c>
      <c r="G171" s="355">
        <v>0</v>
      </c>
      <c r="H171" s="356">
        <v>0</v>
      </c>
      <c r="I171" s="353">
        <v>0</v>
      </c>
      <c r="J171" s="354">
        <v>0</v>
      </c>
      <c r="K171" s="355">
        <v>0</v>
      </c>
      <c r="L171" s="356">
        <v>0</v>
      </c>
      <c r="M171" s="353">
        <v>0</v>
      </c>
      <c r="N171" s="354">
        <v>0</v>
      </c>
      <c r="O171" s="355"/>
      <c r="P171" s="356"/>
      <c r="Q171" s="353">
        <v>0</v>
      </c>
      <c r="R171" s="357">
        <v>0</v>
      </c>
      <c r="S171" s="355">
        <v>0</v>
      </c>
      <c r="T171" s="356">
        <v>0</v>
      </c>
      <c r="V171" s="358">
        <v>0</v>
      </c>
      <c r="W171" s="355">
        <v>0</v>
      </c>
      <c r="X171" s="358">
        <v>0</v>
      </c>
      <c r="Y171" s="355">
        <v>0</v>
      </c>
      <c r="Z171" s="358">
        <v>0</v>
      </c>
      <c r="AA171" s="355"/>
      <c r="AB171" s="354">
        <v>0</v>
      </c>
      <c r="AC171" s="355">
        <v>0</v>
      </c>
      <c r="AD171" s="358">
        <v>0</v>
      </c>
      <c r="AE171" s="355">
        <v>0</v>
      </c>
      <c r="AF171" s="358">
        <v>0</v>
      </c>
      <c r="AG171" s="355">
        <v>0</v>
      </c>
      <c r="AH171" s="358">
        <v>0</v>
      </c>
      <c r="AI171" s="355"/>
      <c r="AJ171" s="358">
        <v>0</v>
      </c>
      <c r="AK171" s="356">
        <v>0</v>
      </c>
      <c r="AL171" s="358">
        <v>0</v>
      </c>
      <c r="AM171" s="356">
        <v>0</v>
      </c>
      <c r="AO171" s="358">
        <v>0</v>
      </c>
      <c r="AP171" s="355">
        <v>0</v>
      </c>
      <c r="AQ171" s="358">
        <v>0</v>
      </c>
      <c r="AR171" s="355">
        <v>0</v>
      </c>
      <c r="AS171" s="358">
        <v>0</v>
      </c>
      <c r="AT171" s="355"/>
      <c r="AU171" s="358">
        <v>0</v>
      </c>
      <c r="AV171" s="356">
        <v>0</v>
      </c>
    </row>
    <row r="172" spans="2:48" x14ac:dyDescent="0.25">
      <c r="B172" s="359" t="s">
        <v>509</v>
      </c>
      <c r="C172" t="s">
        <v>508</v>
      </c>
      <c r="D172" t="s">
        <v>965</v>
      </c>
      <c r="E172" s="353">
        <v>4894.5</v>
      </c>
      <c r="F172" s="354">
        <v>2411.5</v>
      </c>
      <c r="G172" s="355">
        <v>0</v>
      </c>
      <c r="H172" s="356">
        <v>0</v>
      </c>
      <c r="I172" s="353">
        <v>2870</v>
      </c>
      <c r="J172" s="354">
        <v>2051</v>
      </c>
      <c r="K172" s="355">
        <v>0</v>
      </c>
      <c r="L172" s="356">
        <v>0</v>
      </c>
      <c r="M172" s="353">
        <v>3421</v>
      </c>
      <c r="N172" s="354">
        <v>1771</v>
      </c>
      <c r="O172" s="355"/>
      <c r="P172" s="356"/>
      <c r="Q172" s="353">
        <v>11185.5</v>
      </c>
      <c r="R172" s="357">
        <v>6233.5</v>
      </c>
      <c r="S172" s="355">
        <v>0</v>
      </c>
      <c r="T172" s="356">
        <v>0</v>
      </c>
      <c r="V172" s="358">
        <v>0</v>
      </c>
      <c r="W172" s="355">
        <v>0</v>
      </c>
      <c r="X172" s="358">
        <v>0</v>
      </c>
      <c r="Y172" s="355">
        <v>0</v>
      </c>
      <c r="Z172" s="358">
        <v>0</v>
      </c>
      <c r="AA172" s="355"/>
      <c r="AB172" s="354">
        <v>0</v>
      </c>
      <c r="AC172" s="355">
        <v>0</v>
      </c>
      <c r="AD172" s="358">
        <v>169</v>
      </c>
      <c r="AE172" s="355">
        <v>0</v>
      </c>
      <c r="AF172" s="358">
        <v>182</v>
      </c>
      <c r="AG172" s="355">
        <v>0</v>
      </c>
      <c r="AH172" s="358">
        <v>143</v>
      </c>
      <c r="AI172" s="355"/>
      <c r="AJ172" s="358">
        <v>494</v>
      </c>
      <c r="AK172" s="356">
        <v>0</v>
      </c>
      <c r="AL172" s="358">
        <v>494</v>
      </c>
      <c r="AM172" s="356">
        <v>0</v>
      </c>
      <c r="AO172" s="358">
        <v>0</v>
      </c>
      <c r="AP172" s="355">
        <v>0</v>
      </c>
      <c r="AQ172" s="358">
        <v>0</v>
      </c>
      <c r="AR172" s="355">
        <v>0</v>
      </c>
      <c r="AS172" s="358">
        <v>0</v>
      </c>
      <c r="AT172" s="355"/>
      <c r="AU172" s="358">
        <v>0</v>
      </c>
      <c r="AV172" s="356">
        <v>0</v>
      </c>
    </row>
    <row r="173" spans="2:48" x14ac:dyDescent="0.25">
      <c r="B173" s="359" t="s">
        <v>966</v>
      </c>
      <c r="C173" t="s">
        <v>967</v>
      </c>
      <c r="D173" t="s">
        <v>967</v>
      </c>
      <c r="E173" s="353">
        <v>2795</v>
      </c>
      <c r="F173" s="354">
        <v>1365</v>
      </c>
      <c r="G173" s="355">
        <v>0</v>
      </c>
      <c r="H173" s="356">
        <v>0</v>
      </c>
      <c r="I173" s="353">
        <v>2520</v>
      </c>
      <c r="J173" s="354">
        <v>1260</v>
      </c>
      <c r="K173" s="355">
        <v>0</v>
      </c>
      <c r="L173" s="356">
        <v>0</v>
      </c>
      <c r="M173" s="353">
        <v>2117.5</v>
      </c>
      <c r="N173" s="354">
        <v>1237.5</v>
      </c>
      <c r="O173" s="355"/>
      <c r="P173" s="356"/>
      <c r="Q173" s="353">
        <v>7432.5</v>
      </c>
      <c r="R173" s="357">
        <v>3862.5</v>
      </c>
      <c r="S173" s="355">
        <v>0</v>
      </c>
      <c r="T173" s="356">
        <v>0</v>
      </c>
      <c r="V173" s="358">
        <v>2210</v>
      </c>
      <c r="W173" s="355">
        <v>0</v>
      </c>
      <c r="X173" s="358">
        <v>1260</v>
      </c>
      <c r="Y173" s="355">
        <v>0</v>
      </c>
      <c r="Z173" s="358">
        <v>1210</v>
      </c>
      <c r="AA173" s="355"/>
      <c r="AB173" s="354">
        <v>4680</v>
      </c>
      <c r="AC173" s="355">
        <v>0</v>
      </c>
      <c r="AD173" s="358">
        <v>1170</v>
      </c>
      <c r="AE173" s="355">
        <v>0</v>
      </c>
      <c r="AF173" s="358">
        <v>1890</v>
      </c>
      <c r="AG173" s="355">
        <v>0</v>
      </c>
      <c r="AH173" s="358">
        <v>1320</v>
      </c>
      <c r="AI173" s="355"/>
      <c r="AJ173" s="358">
        <v>4380</v>
      </c>
      <c r="AK173" s="356">
        <v>0</v>
      </c>
      <c r="AL173" s="358">
        <v>9060</v>
      </c>
      <c r="AM173" s="356">
        <v>0</v>
      </c>
      <c r="AO173" s="358">
        <v>840</v>
      </c>
      <c r="AP173" s="355">
        <v>0</v>
      </c>
      <c r="AQ173" s="358">
        <v>2310</v>
      </c>
      <c r="AR173" s="355">
        <v>0</v>
      </c>
      <c r="AS173" s="358">
        <v>2310</v>
      </c>
      <c r="AT173" s="355"/>
      <c r="AU173" s="358">
        <v>5460</v>
      </c>
      <c r="AV173" s="356">
        <v>0</v>
      </c>
    </row>
    <row r="174" spans="2:48" x14ac:dyDescent="0.25">
      <c r="B174" s="359" t="s">
        <v>511</v>
      </c>
      <c r="C174" t="s">
        <v>510</v>
      </c>
      <c r="D174" t="s">
        <v>968</v>
      </c>
      <c r="E174" s="353">
        <v>6721.8039473684212</v>
      </c>
      <c r="F174" s="354">
        <v>2627.0297368421047</v>
      </c>
      <c r="G174" s="355">
        <v>0</v>
      </c>
      <c r="H174" s="356">
        <v>0</v>
      </c>
      <c r="I174" s="353">
        <v>4577.5136842105258</v>
      </c>
      <c r="J174" s="354">
        <v>1609.5136842105264</v>
      </c>
      <c r="K174" s="355">
        <v>0</v>
      </c>
      <c r="L174" s="356">
        <v>0</v>
      </c>
      <c r="M174" s="353">
        <v>5190.4571052631572</v>
      </c>
      <c r="N174" s="354">
        <v>1728.1578947368421</v>
      </c>
      <c r="O174" s="355"/>
      <c r="P174" s="356"/>
      <c r="Q174" s="353">
        <v>16489.774736842104</v>
      </c>
      <c r="R174" s="357">
        <v>5964.7013157894726</v>
      </c>
      <c r="S174" s="355">
        <v>0</v>
      </c>
      <c r="T174" s="356">
        <v>0</v>
      </c>
      <c r="V174" s="358">
        <v>975</v>
      </c>
      <c r="W174" s="355">
        <v>0</v>
      </c>
      <c r="X174" s="358">
        <v>0</v>
      </c>
      <c r="Y174" s="355">
        <v>0</v>
      </c>
      <c r="Z174" s="358">
        <v>825</v>
      </c>
      <c r="AA174" s="355"/>
      <c r="AB174" s="354">
        <v>1800</v>
      </c>
      <c r="AC174" s="355">
        <v>0</v>
      </c>
      <c r="AD174" s="358">
        <v>1867.4431578947367</v>
      </c>
      <c r="AE174" s="355">
        <v>0</v>
      </c>
      <c r="AF174" s="358">
        <v>1427.5136842105262</v>
      </c>
      <c r="AG174" s="355">
        <v>0</v>
      </c>
      <c r="AH174" s="358">
        <v>1250.5263157894738</v>
      </c>
      <c r="AI174" s="355"/>
      <c r="AJ174" s="358">
        <v>4545.483157894736</v>
      </c>
      <c r="AK174" s="356">
        <v>0</v>
      </c>
      <c r="AL174" s="358">
        <v>6345.483157894736</v>
      </c>
      <c r="AM174" s="356">
        <v>0</v>
      </c>
      <c r="AO174" s="358">
        <v>1260</v>
      </c>
      <c r="AP174" s="355">
        <v>0</v>
      </c>
      <c r="AQ174" s="358">
        <v>625.26315789473688</v>
      </c>
      <c r="AR174" s="355">
        <v>0</v>
      </c>
      <c r="AS174" s="358">
        <v>625.26315789473688</v>
      </c>
      <c r="AT174" s="355"/>
      <c r="AU174" s="358">
        <v>2510.5263157894738</v>
      </c>
      <c r="AV174" s="356">
        <v>0</v>
      </c>
    </row>
    <row r="175" spans="2:48" x14ac:dyDescent="0.25">
      <c r="B175" s="359" t="s">
        <v>512</v>
      </c>
      <c r="C175">
        <v>509197</v>
      </c>
      <c r="D175" t="s">
        <v>969</v>
      </c>
      <c r="E175" s="353">
        <v>5299.9049999999988</v>
      </c>
      <c r="F175" s="354">
        <v>3355.3205263157888</v>
      </c>
      <c r="G175" s="355">
        <v>0</v>
      </c>
      <c r="H175" s="356">
        <v>0</v>
      </c>
      <c r="I175" s="353">
        <v>3107.3921052631576</v>
      </c>
      <c r="J175" s="354">
        <v>1983.2142105263156</v>
      </c>
      <c r="K175" s="355">
        <v>0</v>
      </c>
      <c r="L175" s="356">
        <v>0</v>
      </c>
      <c r="M175" s="353">
        <v>4091.0447368421046</v>
      </c>
      <c r="N175" s="354">
        <v>2322.9857894736838</v>
      </c>
      <c r="O175" s="355"/>
      <c r="P175" s="356"/>
      <c r="Q175" s="353">
        <v>12498.341842105261</v>
      </c>
      <c r="R175" s="357">
        <v>7661.5205263157877</v>
      </c>
      <c r="S175" s="355">
        <v>0</v>
      </c>
      <c r="T175" s="356">
        <v>0</v>
      </c>
      <c r="V175" s="358">
        <v>779.54842105263151</v>
      </c>
      <c r="W175" s="355">
        <v>0</v>
      </c>
      <c r="X175" s="358">
        <v>419.7568421052631</v>
      </c>
      <c r="Y175" s="355">
        <v>0</v>
      </c>
      <c r="Z175" s="358">
        <v>659.617894736842</v>
      </c>
      <c r="AA175" s="355"/>
      <c r="AB175" s="354">
        <v>1858.9231578947365</v>
      </c>
      <c r="AC175" s="355">
        <v>0</v>
      </c>
      <c r="AD175" s="358">
        <v>1536.168947368421</v>
      </c>
      <c r="AE175" s="355">
        <v>0</v>
      </c>
      <c r="AF175" s="358">
        <v>1654.3357894736841</v>
      </c>
      <c r="AG175" s="355">
        <v>0</v>
      </c>
      <c r="AH175" s="358">
        <v>1154.7134210526315</v>
      </c>
      <c r="AI175" s="355"/>
      <c r="AJ175" s="358">
        <v>4345.2181578947366</v>
      </c>
      <c r="AK175" s="356">
        <v>0</v>
      </c>
      <c r="AL175" s="358">
        <v>6204.1413157894731</v>
      </c>
      <c r="AM175" s="356">
        <v>0</v>
      </c>
      <c r="AO175" s="358">
        <v>0</v>
      </c>
      <c r="AP175" s="355">
        <v>0</v>
      </c>
      <c r="AQ175" s="358">
        <v>990</v>
      </c>
      <c r="AR175" s="355">
        <v>0</v>
      </c>
      <c r="AS175" s="358">
        <v>990</v>
      </c>
      <c r="AT175" s="355"/>
      <c r="AU175" s="358">
        <v>1980</v>
      </c>
      <c r="AV175" s="356">
        <v>0</v>
      </c>
    </row>
    <row r="176" spans="2:48" x14ac:dyDescent="0.25">
      <c r="B176" s="359" t="s">
        <v>970</v>
      </c>
      <c r="C176" t="s">
        <v>971</v>
      </c>
      <c r="D176" t="s">
        <v>971</v>
      </c>
      <c r="E176" s="353">
        <v>0</v>
      </c>
      <c r="F176" s="354">
        <v>0</v>
      </c>
      <c r="G176" s="355">
        <v>0</v>
      </c>
      <c r="H176" s="356">
        <v>0</v>
      </c>
      <c r="I176" s="353">
        <v>0</v>
      </c>
      <c r="J176" s="354">
        <v>0</v>
      </c>
      <c r="K176" s="355">
        <v>0</v>
      </c>
      <c r="L176" s="356">
        <v>0</v>
      </c>
      <c r="M176" s="353">
        <v>0</v>
      </c>
      <c r="N176" s="354">
        <v>0</v>
      </c>
      <c r="O176" s="355"/>
      <c r="P176" s="356"/>
      <c r="Q176" s="353">
        <v>0</v>
      </c>
      <c r="R176" s="357">
        <v>0</v>
      </c>
      <c r="S176" s="355">
        <v>0</v>
      </c>
      <c r="T176" s="356">
        <v>0</v>
      </c>
      <c r="V176" s="358">
        <v>0</v>
      </c>
      <c r="W176" s="355">
        <v>0</v>
      </c>
      <c r="X176" s="358">
        <v>0</v>
      </c>
      <c r="Y176" s="355">
        <v>0</v>
      </c>
      <c r="Z176" s="358">
        <v>0</v>
      </c>
      <c r="AA176" s="355"/>
      <c r="AB176" s="354">
        <v>0</v>
      </c>
      <c r="AC176" s="355">
        <v>0</v>
      </c>
      <c r="AD176" s="358">
        <v>0</v>
      </c>
      <c r="AE176" s="355">
        <v>0</v>
      </c>
      <c r="AF176" s="358">
        <v>0</v>
      </c>
      <c r="AG176" s="355">
        <v>0</v>
      </c>
      <c r="AH176" s="358">
        <v>0</v>
      </c>
      <c r="AI176" s="355"/>
      <c r="AJ176" s="358">
        <v>0</v>
      </c>
      <c r="AK176" s="356">
        <v>0</v>
      </c>
      <c r="AL176" s="358">
        <v>0</v>
      </c>
      <c r="AM176" s="356">
        <v>0</v>
      </c>
      <c r="AO176" s="358">
        <v>0</v>
      </c>
      <c r="AP176" s="355">
        <v>0</v>
      </c>
      <c r="AQ176" s="358">
        <v>0</v>
      </c>
      <c r="AR176" s="355">
        <v>0</v>
      </c>
      <c r="AS176" s="358">
        <v>0</v>
      </c>
      <c r="AT176" s="355"/>
      <c r="AU176" s="358">
        <v>0</v>
      </c>
      <c r="AV176" s="356">
        <v>0</v>
      </c>
    </row>
    <row r="177" spans="2:48" x14ac:dyDescent="0.25">
      <c r="B177" s="359" t="s">
        <v>516</v>
      </c>
      <c r="C177" t="s">
        <v>515</v>
      </c>
      <c r="D177" t="s">
        <v>972</v>
      </c>
      <c r="E177" s="353">
        <v>6240</v>
      </c>
      <c r="F177" s="354">
        <v>975</v>
      </c>
      <c r="G177" s="355">
        <v>0</v>
      </c>
      <c r="H177" s="356">
        <v>0</v>
      </c>
      <c r="I177" s="353">
        <v>4200</v>
      </c>
      <c r="J177" s="354">
        <v>1050</v>
      </c>
      <c r="K177" s="355">
        <v>0</v>
      </c>
      <c r="L177" s="356">
        <v>0</v>
      </c>
      <c r="M177" s="353">
        <v>4620</v>
      </c>
      <c r="N177" s="354">
        <v>825</v>
      </c>
      <c r="O177" s="355"/>
      <c r="P177" s="356"/>
      <c r="Q177" s="353">
        <v>15060</v>
      </c>
      <c r="R177" s="357">
        <v>2850</v>
      </c>
      <c r="S177" s="355">
        <v>0</v>
      </c>
      <c r="T177" s="356">
        <v>0</v>
      </c>
      <c r="V177" s="358">
        <v>4875</v>
      </c>
      <c r="W177" s="355">
        <v>0</v>
      </c>
      <c r="X177" s="358">
        <v>2730</v>
      </c>
      <c r="Y177" s="355">
        <v>0</v>
      </c>
      <c r="Z177" s="358">
        <v>3465</v>
      </c>
      <c r="AA177" s="355"/>
      <c r="AB177" s="354">
        <v>11070</v>
      </c>
      <c r="AC177" s="355">
        <v>0</v>
      </c>
      <c r="AD177" s="358">
        <v>975</v>
      </c>
      <c r="AE177" s="355">
        <v>0</v>
      </c>
      <c r="AF177" s="358">
        <v>1050</v>
      </c>
      <c r="AG177" s="355">
        <v>0</v>
      </c>
      <c r="AH177" s="358">
        <v>825</v>
      </c>
      <c r="AI177" s="355"/>
      <c r="AJ177" s="358">
        <v>2850</v>
      </c>
      <c r="AK177" s="356">
        <v>0</v>
      </c>
      <c r="AL177" s="358">
        <v>13920</v>
      </c>
      <c r="AM177" s="356">
        <v>0</v>
      </c>
      <c r="AO177" s="358">
        <v>0</v>
      </c>
      <c r="AP177" s="355">
        <v>0</v>
      </c>
      <c r="AQ177" s="358">
        <v>1980</v>
      </c>
      <c r="AR177" s="355">
        <v>0</v>
      </c>
      <c r="AS177" s="358">
        <v>1980</v>
      </c>
      <c r="AT177" s="355"/>
      <c r="AU177" s="358">
        <v>3960</v>
      </c>
      <c r="AV177" s="356"/>
    </row>
    <row r="178" spans="2:48" x14ac:dyDescent="0.25">
      <c r="B178" s="359" t="s">
        <v>517</v>
      </c>
      <c r="C178">
        <v>206117</v>
      </c>
      <c r="D178" t="s">
        <v>973</v>
      </c>
      <c r="E178" s="353">
        <v>7995</v>
      </c>
      <c r="F178" s="354">
        <v>5720</v>
      </c>
      <c r="G178" s="355">
        <v>0</v>
      </c>
      <c r="H178" s="356">
        <v>0</v>
      </c>
      <c r="I178" s="353">
        <v>6230</v>
      </c>
      <c r="J178" s="354">
        <v>5005</v>
      </c>
      <c r="K178" s="355">
        <v>0</v>
      </c>
      <c r="L178" s="356">
        <v>0</v>
      </c>
      <c r="M178" s="353">
        <v>5610</v>
      </c>
      <c r="N178" s="354">
        <v>4180</v>
      </c>
      <c r="O178" s="355"/>
      <c r="P178" s="356"/>
      <c r="Q178" s="353">
        <v>19835</v>
      </c>
      <c r="R178" s="357">
        <v>14905</v>
      </c>
      <c r="S178" s="355">
        <v>0</v>
      </c>
      <c r="T178" s="356">
        <v>0</v>
      </c>
      <c r="V178" s="358">
        <v>390</v>
      </c>
      <c r="W178" s="355">
        <v>0</v>
      </c>
      <c r="X178" s="358">
        <v>420</v>
      </c>
      <c r="Y178" s="355">
        <v>0</v>
      </c>
      <c r="Z178" s="358">
        <v>330</v>
      </c>
      <c r="AA178" s="355"/>
      <c r="AB178" s="354">
        <v>1140</v>
      </c>
      <c r="AC178" s="355">
        <v>0</v>
      </c>
      <c r="AD178" s="358">
        <v>520</v>
      </c>
      <c r="AE178" s="355">
        <v>0</v>
      </c>
      <c r="AF178" s="358">
        <v>336</v>
      </c>
      <c r="AG178" s="355">
        <v>0</v>
      </c>
      <c r="AH178" s="358">
        <v>440</v>
      </c>
      <c r="AI178" s="355"/>
      <c r="AJ178" s="358">
        <v>1296</v>
      </c>
      <c r="AK178" s="356">
        <v>0</v>
      </c>
      <c r="AL178" s="358">
        <v>2436</v>
      </c>
      <c r="AM178" s="356">
        <v>0</v>
      </c>
      <c r="AO178" s="358">
        <v>0</v>
      </c>
      <c r="AP178" s="355">
        <v>0</v>
      </c>
      <c r="AQ178" s="358">
        <v>0</v>
      </c>
      <c r="AR178" s="355">
        <v>0</v>
      </c>
      <c r="AS178" s="358">
        <v>0</v>
      </c>
      <c r="AT178" s="355"/>
      <c r="AU178" s="358">
        <v>0</v>
      </c>
      <c r="AV178" s="356">
        <v>0</v>
      </c>
    </row>
    <row r="179" spans="2:48" x14ac:dyDescent="0.25">
      <c r="B179" s="359" t="s">
        <v>518</v>
      </c>
      <c r="C179">
        <v>206141</v>
      </c>
      <c r="D179" t="s">
        <v>974</v>
      </c>
      <c r="E179" s="353">
        <v>5323.5</v>
      </c>
      <c r="F179" s="354">
        <v>1365</v>
      </c>
      <c r="G179" s="355">
        <v>0</v>
      </c>
      <c r="H179" s="356">
        <v>0</v>
      </c>
      <c r="I179" s="353">
        <v>4200</v>
      </c>
      <c r="J179" s="354">
        <v>1746.5</v>
      </c>
      <c r="K179" s="355">
        <v>0</v>
      </c>
      <c r="L179" s="356">
        <v>0</v>
      </c>
      <c r="M179" s="353">
        <v>3630</v>
      </c>
      <c r="N179" s="354">
        <v>1122</v>
      </c>
      <c r="O179" s="355"/>
      <c r="P179" s="356"/>
      <c r="Q179" s="353">
        <v>13153.5</v>
      </c>
      <c r="R179" s="357">
        <v>4233.5</v>
      </c>
      <c r="S179" s="355">
        <v>0</v>
      </c>
      <c r="T179" s="356">
        <v>0</v>
      </c>
      <c r="V179" s="358">
        <v>0</v>
      </c>
      <c r="W179" s="355">
        <v>0</v>
      </c>
      <c r="X179" s="358">
        <v>0</v>
      </c>
      <c r="Y179" s="355">
        <v>0</v>
      </c>
      <c r="Z179" s="358">
        <v>0</v>
      </c>
      <c r="AA179" s="355"/>
      <c r="AB179" s="354">
        <v>0</v>
      </c>
      <c r="AC179" s="355">
        <v>0</v>
      </c>
      <c r="AD179" s="358">
        <v>0</v>
      </c>
      <c r="AE179" s="355">
        <v>0</v>
      </c>
      <c r="AF179" s="358">
        <v>273</v>
      </c>
      <c r="AG179" s="355">
        <v>0</v>
      </c>
      <c r="AH179" s="358">
        <v>0</v>
      </c>
      <c r="AI179" s="355"/>
      <c r="AJ179" s="358">
        <v>273</v>
      </c>
      <c r="AK179" s="356">
        <v>0</v>
      </c>
      <c r="AL179" s="358">
        <v>273</v>
      </c>
      <c r="AM179" s="356">
        <v>0</v>
      </c>
      <c r="AO179" s="358">
        <v>210</v>
      </c>
      <c r="AP179" s="355">
        <v>0</v>
      </c>
      <c r="AQ179" s="358">
        <v>1287</v>
      </c>
      <c r="AR179" s="355">
        <v>0</v>
      </c>
      <c r="AS179" s="358">
        <v>1287</v>
      </c>
      <c r="AT179" s="355"/>
      <c r="AU179" s="358">
        <v>2784</v>
      </c>
      <c r="AV179" s="356">
        <v>0</v>
      </c>
    </row>
    <row r="180" spans="2:48" x14ac:dyDescent="0.25">
      <c r="B180" s="359" t="s">
        <v>520</v>
      </c>
      <c r="C180" t="s">
        <v>519</v>
      </c>
      <c r="D180" t="s">
        <v>975</v>
      </c>
      <c r="E180" s="353">
        <v>8091.3625000000002</v>
      </c>
      <c r="F180" s="354">
        <v>6206.8500000000022</v>
      </c>
      <c r="G180" s="355">
        <v>0</v>
      </c>
      <c r="H180" s="356">
        <v>0</v>
      </c>
      <c r="I180" s="353">
        <v>5600</v>
      </c>
      <c r="J180" s="354">
        <v>4550</v>
      </c>
      <c r="K180" s="355">
        <v>0</v>
      </c>
      <c r="L180" s="356">
        <v>0</v>
      </c>
      <c r="M180" s="353">
        <v>4805.625</v>
      </c>
      <c r="N180" s="354">
        <v>3980.625</v>
      </c>
      <c r="O180" s="355"/>
      <c r="P180" s="356"/>
      <c r="Q180" s="353">
        <v>18496.987499999999</v>
      </c>
      <c r="R180" s="357">
        <v>14737.475000000002</v>
      </c>
      <c r="S180" s="355">
        <v>0</v>
      </c>
      <c r="T180" s="356">
        <v>0</v>
      </c>
      <c r="V180" s="358">
        <v>752.05</v>
      </c>
      <c r="W180" s="355">
        <v>0</v>
      </c>
      <c r="X180" s="358">
        <v>0</v>
      </c>
      <c r="Y180" s="355">
        <v>0</v>
      </c>
      <c r="Z180" s="358">
        <v>316.25</v>
      </c>
      <c r="AA180" s="355"/>
      <c r="AB180" s="354">
        <v>1068.3</v>
      </c>
      <c r="AC180" s="355">
        <v>0</v>
      </c>
      <c r="AD180" s="358">
        <v>195</v>
      </c>
      <c r="AE180" s="355">
        <v>0</v>
      </c>
      <c r="AF180" s="358">
        <v>0</v>
      </c>
      <c r="AG180" s="355">
        <v>0</v>
      </c>
      <c r="AH180" s="358">
        <v>165</v>
      </c>
      <c r="AI180" s="355"/>
      <c r="AJ180" s="358">
        <v>360</v>
      </c>
      <c r="AK180" s="356">
        <v>0</v>
      </c>
      <c r="AL180" s="358">
        <v>1428.3</v>
      </c>
      <c r="AM180" s="356">
        <v>0</v>
      </c>
      <c r="AO180" s="358">
        <v>0</v>
      </c>
      <c r="AP180" s="355">
        <v>0</v>
      </c>
      <c r="AQ180" s="358">
        <v>0</v>
      </c>
      <c r="AR180" s="355">
        <v>0</v>
      </c>
      <c r="AS180" s="358">
        <v>0</v>
      </c>
      <c r="AT180" s="355"/>
      <c r="AU180" s="358">
        <v>0</v>
      </c>
      <c r="AV180" s="356">
        <v>0</v>
      </c>
    </row>
    <row r="181" spans="2:48" x14ac:dyDescent="0.25">
      <c r="B181" s="359" t="s">
        <v>522</v>
      </c>
      <c r="C181" t="s">
        <v>521</v>
      </c>
      <c r="D181" t="s">
        <v>976</v>
      </c>
      <c r="E181" s="353">
        <v>12011.165263157898</v>
      </c>
      <c r="F181" s="354">
        <v>9197.9242105263183</v>
      </c>
      <c r="G181" s="355">
        <v>0</v>
      </c>
      <c r="H181" s="356">
        <v>0</v>
      </c>
      <c r="I181" s="353">
        <v>6052.421052631581</v>
      </c>
      <c r="J181" s="354">
        <v>5309.8315789473691</v>
      </c>
      <c r="K181" s="355">
        <v>0</v>
      </c>
      <c r="L181" s="356">
        <v>0</v>
      </c>
      <c r="M181" s="353">
        <v>8575.3684210526353</v>
      </c>
      <c r="N181" s="354">
        <v>5957.7042105263172</v>
      </c>
      <c r="O181" s="355"/>
      <c r="P181" s="356"/>
      <c r="Q181" s="353">
        <v>26638.954736842112</v>
      </c>
      <c r="R181" s="357">
        <v>20465.460000000006</v>
      </c>
      <c r="S181" s="355">
        <v>0</v>
      </c>
      <c r="T181" s="356">
        <v>0</v>
      </c>
      <c r="V181" s="358">
        <v>834.73684210526312</v>
      </c>
      <c r="W181" s="355">
        <v>0</v>
      </c>
      <c r="X181" s="358">
        <v>689.68421052631584</v>
      </c>
      <c r="Y181" s="355">
        <v>0</v>
      </c>
      <c r="Z181" s="358">
        <v>480.52631578947364</v>
      </c>
      <c r="AA181" s="355"/>
      <c r="AB181" s="354">
        <v>2004.9473684210525</v>
      </c>
      <c r="AC181" s="355">
        <v>0</v>
      </c>
      <c r="AD181" s="358">
        <v>3427.5115789473693</v>
      </c>
      <c r="AE181" s="355">
        <v>0</v>
      </c>
      <c r="AF181" s="358">
        <v>2811.5094736842107</v>
      </c>
      <c r="AG181" s="355">
        <v>0</v>
      </c>
      <c r="AH181" s="358">
        <v>1759.8147368421055</v>
      </c>
      <c r="AI181" s="355"/>
      <c r="AJ181" s="358">
        <v>7998.8357894736855</v>
      </c>
      <c r="AK181" s="356">
        <v>0</v>
      </c>
      <c r="AL181" s="358">
        <v>10003.783157894737</v>
      </c>
      <c r="AM181" s="356">
        <v>0</v>
      </c>
      <c r="AO181" s="358">
        <v>0</v>
      </c>
      <c r="AP181" s="355">
        <v>0</v>
      </c>
      <c r="AQ181" s="358">
        <v>0</v>
      </c>
      <c r="AR181" s="355">
        <v>0</v>
      </c>
      <c r="AS181" s="358">
        <v>0</v>
      </c>
      <c r="AT181" s="355"/>
      <c r="AU181" s="358">
        <v>0</v>
      </c>
      <c r="AV181" s="356">
        <v>0</v>
      </c>
    </row>
    <row r="182" spans="2:48" x14ac:dyDescent="0.25">
      <c r="B182" s="359" t="s">
        <v>523</v>
      </c>
      <c r="C182">
        <v>258408</v>
      </c>
      <c r="D182" t="s">
        <v>977</v>
      </c>
      <c r="E182" s="353">
        <v>11895</v>
      </c>
      <c r="F182" s="354">
        <v>3315</v>
      </c>
      <c r="G182" s="355">
        <v>0</v>
      </c>
      <c r="H182" s="356">
        <v>0</v>
      </c>
      <c r="I182" s="353">
        <v>6930</v>
      </c>
      <c r="J182" s="354">
        <v>1890</v>
      </c>
      <c r="K182" s="355">
        <v>0</v>
      </c>
      <c r="L182" s="356">
        <v>0</v>
      </c>
      <c r="M182" s="353">
        <v>9267.5</v>
      </c>
      <c r="N182" s="354">
        <v>2640</v>
      </c>
      <c r="O182" s="355"/>
      <c r="P182" s="356"/>
      <c r="Q182" s="353">
        <v>28092.5</v>
      </c>
      <c r="R182" s="357">
        <v>7845</v>
      </c>
      <c r="S182" s="355">
        <v>0</v>
      </c>
      <c r="T182" s="356">
        <v>0</v>
      </c>
      <c r="V182" s="358">
        <v>6435</v>
      </c>
      <c r="W182" s="355">
        <v>0</v>
      </c>
      <c r="X182" s="358">
        <v>3150</v>
      </c>
      <c r="Y182" s="355">
        <v>0</v>
      </c>
      <c r="Z182" s="358">
        <v>4647.5</v>
      </c>
      <c r="AA182" s="355"/>
      <c r="AB182" s="354">
        <v>14232.5</v>
      </c>
      <c r="AC182" s="355">
        <v>0</v>
      </c>
      <c r="AD182" s="358">
        <v>6240</v>
      </c>
      <c r="AE182" s="355">
        <v>0</v>
      </c>
      <c r="AF182" s="358">
        <v>3990</v>
      </c>
      <c r="AG182" s="355">
        <v>0</v>
      </c>
      <c r="AH182" s="358">
        <v>5280</v>
      </c>
      <c r="AI182" s="355"/>
      <c r="AJ182" s="358">
        <v>15510</v>
      </c>
      <c r="AK182" s="356">
        <v>0</v>
      </c>
      <c r="AL182" s="358">
        <v>29742.5</v>
      </c>
      <c r="AM182" s="356">
        <v>0</v>
      </c>
      <c r="AO182" s="358">
        <v>0</v>
      </c>
      <c r="AP182" s="355">
        <v>0</v>
      </c>
      <c r="AQ182" s="358">
        <v>0</v>
      </c>
      <c r="AR182" s="355">
        <v>0</v>
      </c>
      <c r="AS182" s="358">
        <v>0</v>
      </c>
      <c r="AT182" s="355"/>
      <c r="AU182" s="358">
        <v>0</v>
      </c>
      <c r="AV182" s="356"/>
    </row>
    <row r="183" spans="2:48" x14ac:dyDescent="0.25">
      <c r="B183" s="359" t="s">
        <v>524</v>
      </c>
      <c r="C183">
        <v>258406</v>
      </c>
      <c r="D183" t="s">
        <v>978</v>
      </c>
      <c r="E183" s="353">
        <v>6621.0231578947396</v>
      </c>
      <c r="F183" s="354">
        <v>5614.5357894736862</v>
      </c>
      <c r="G183" s="355">
        <v>0</v>
      </c>
      <c r="H183" s="356">
        <v>0</v>
      </c>
      <c r="I183" s="353">
        <v>3760.5621052631586</v>
      </c>
      <c r="J183" s="354">
        <v>2519.4547368421063</v>
      </c>
      <c r="K183" s="355">
        <v>0</v>
      </c>
      <c r="L183" s="356">
        <v>0</v>
      </c>
      <c r="M183" s="353">
        <v>5774.606315789475</v>
      </c>
      <c r="N183" s="354">
        <v>4111.0242105263169</v>
      </c>
      <c r="O183" s="355"/>
      <c r="P183" s="356"/>
      <c r="Q183" s="353">
        <v>16156.191578947373</v>
      </c>
      <c r="R183" s="357">
        <v>12245.014736842109</v>
      </c>
      <c r="S183" s="355">
        <v>0</v>
      </c>
      <c r="T183" s="356">
        <v>0</v>
      </c>
      <c r="V183" s="358">
        <v>455.05473684210534</v>
      </c>
      <c r="W183" s="355">
        <v>0</v>
      </c>
      <c r="X183" s="358">
        <v>418.79157894736841</v>
      </c>
      <c r="Y183" s="355">
        <v>0</v>
      </c>
      <c r="Z183" s="358">
        <v>164.97684210526319</v>
      </c>
      <c r="AA183" s="355"/>
      <c r="AB183" s="354">
        <v>1038.8231578947368</v>
      </c>
      <c r="AC183" s="355">
        <v>0</v>
      </c>
      <c r="AD183" s="358">
        <v>1819.8905263157897</v>
      </c>
      <c r="AE183" s="355">
        <v>0</v>
      </c>
      <c r="AF183" s="358">
        <v>210</v>
      </c>
      <c r="AG183" s="355">
        <v>0</v>
      </c>
      <c r="AH183" s="358">
        <v>1581.0010526315791</v>
      </c>
      <c r="AI183" s="355"/>
      <c r="AJ183" s="358">
        <v>3610.8915789473685</v>
      </c>
      <c r="AK183" s="356">
        <v>0</v>
      </c>
      <c r="AL183" s="358">
        <v>4649.7147368421056</v>
      </c>
      <c r="AM183" s="356">
        <v>0</v>
      </c>
      <c r="AO183" s="358">
        <v>0</v>
      </c>
      <c r="AP183" s="355">
        <v>0</v>
      </c>
      <c r="AQ183" s="358">
        <v>0</v>
      </c>
      <c r="AR183" s="355">
        <v>0</v>
      </c>
      <c r="AS183" s="358">
        <v>0</v>
      </c>
      <c r="AT183" s="355"/>
      <c r="AU183" s="358">
        <v>0</v>
      </c>
      <c r="AV183" s="356">
        <v>0</v>
      </c>
    </row>
    <row r="184" spans="2:48" x14ac:dyDescent="0.25">
      <c r="B184" s="359" t="s">
        <v>525</v>
      </c>
      <c r="C184" t="s">
        <v>979</v>
      </c>
      <c r="D184" t="s">
        <v>979</v>
      </c>
      <c r="E184" s="353">
        <v>7291.5323684210507</v>
      </c>
      <c r="F184" s="354">
        <v>2510.2452631578944</v>
      </c>
      <c r="G184" s="355">
        <v>0</v>
      </c>
      <c r="H184" s="356">
        <v>0</v>
      </c>
      <c r="I184" s="353">
        <v>5753.0273684210515</v>
      </c>
      <c r="J184" s="354">
        <v>2133.1910526315792</v>
      </c>
      <c r="K184" s="355">
        <v>0</v>
      </c>
      <c r="L184" s="356">
        <v>0</v>
      </c>
      <c r="M184" s="353">
        <v>5259.6963157894725</v>
      </c>
      <c r="N184" s="354">
        <v>2092.3650000000002</v>
      </c>
      <c r="O184" s="355"/>
      <c r="P184" s="356"/>
      <c r="Q184" s="353">
        <v>18304.256052631576</v>
      </c>
      <c r="R184" s="357">
        <v>6735.8013157894729</v>
      </c>
      <c r="S184" s="355">
        <v>0</v>
      </c>
      <c r="T184" s="356">
        <v>0</v>
      </c>
      <c r="V184" s="358">
        <v>6781.1147368421052</v>
      </c>
      <c r="W184" s="355">
        <v>0</v>
      </c>
      <c r="X184" s="358">
        <v>5471.483684210526</v>
      </c>
      <c r="Y184" s="355">
        <v>0</v>
      </c>
      <c r="Z184" s="358">
        <v>5405.7300000000005</v>
      </c>
      <c r="AA184" s="355"/>
      <c r="AB184" s="354">
        <v>17658.328421052633</v>
      </c>
      <c r="AC184" s="355">
        <v>0</v>
      </c>
      <c r="AD184" s="358">
        <v>360.11368421052629</v>
      </c>
      <c r="AE184" s="355">
        <v>0</v>
      </c>
      <c r="AF184" s="358">
        <v>671.7568421052631</v>
      </c>
      <c r="AG184" s="355">
        <v>0</v>
      </c>
      <c r="AH184" s="358">
        <v>329.808947368421</v>
      </c>
      <c r="AI184" s="355"/>
      <c r="AJ184" s="358">
        <v>1361.6794736842105</v>
      </c>
      <c r="AK184" s="356">
        <v>0</v>
      </c>
      <c r="AL184" s="358">
        <v>19020.007894736842</v>
      </c>
      <c r="AM184" s="356">
        <v>0</v>
      </c>
      <c r="AO184" s="358">
        <v>3065.8784210526314</v>
      </c>
      <c r="AP184" s="355">
        <v>0</v>
      </c>
      <c r="AQ184" s="358">
        <v>4519.9492105263153</v>
      </c>
      <c r="AR184" s="355">
        <v>0</v>
      </c>
      <c r="AS184" s="358">
        <v>4519.9492105263153</v>
      </c>
      <c r="AT184" s="355"/>
      <c r="AU184" s="358">
        <v>12105.776842105261</v>
      </c>
      <c r="AV184" s="356">
        <v>0</v>
      </c>
    </row>
    <row r="185" spans="2:48" x14ac:dyDescent="0.25">
      <c r="B185" s="359" t="s">
        <v>527</v>
      </c>
      <c r="C185" t="s">
        <v>526</v>
      </c>
      <c r="D185" t="s">
        <v>980</v>
      </c>
      <c r="E185" s="353">
        <v>2535</v>
      </c>
      <c r="F185" s="354">
        <v>585</v>
      </c>
      <c r="G185" s="355">
        <v>0</v>
      </c>
      <c r="H185" s="356">
        <v>0</v>
      </c>
      <c r="I185" s="353">
        <v>1470</v>
      </c>
      <c r="J185" s="354">
        <v>840</v>
      </c>
      <c r="K185" s="355">
        <v>0</v>
      </c>
      <c r="L185" s="356">
        <v>0</v>
      </c>
      <c r="M185" s="353">
        <v>2145</v>
      </c>
      <c r="N185" s="354">
        <v>330</v>
      </c>
      <c r="O185" s="355"/>
      <c r="P185" s="356"/>
      <c r="Q185" s="353">
        <v>6150</v>
      </c>
      <c r="R185" s="357">
        <v>1755</v>
      </c>
      <c r="S185" s="355">
        <v>0</v>
      </c>
      <c r="T185" s="356">
        <v>0</v>
      </c>
      <c r="V185" s="358">
        <v>1950</v>
      </c>
      <c r="W185" s="355">
        <v>0</v>
      </c>
      <c r="X185" s="358">
        <v>1050</v>
      </c>
      <c r="Y185" s="355">
        <v>0</v>
      </c>
      <c r="Z185" s="358">
        <v>1815</v>
      </c>
      <c r="AA185" s="355"/>
      <c r="AB185" s="354">
        <v>4815</v>
      </c>
      <c r="AC185" s="355">
        <v>0</v>
      </c>
      <c r="AD185" s="358">
        <v>1170</v>
      </c>
      <c r="AE185" s="355">
        <v>0</v>
      </c>
      <c r="AF185" s="358">
        <v>1260</v>
      </c>
      <c r="AG185" s="355">
        <v>0</v>
      </c>
      <c r="AH185" s="358">
        <v>660</v>
      </c>
      <c r="AI185" s="355"/>
      <c r="AJ185" s="358">
        <v>3090</v>
      </c>
      <c r="AK185" s="356">
        <v>0</v>
      </c>
      <c r="AL185" s="358">
        <v>7905</v>
      </c>
      <c r="AM185" s="356">
        <v>0</v>
      </c>
      <c r="AO185" s="358">
        <v>0</v>
      </c>
      <c r="AP185" s="355">
        <v>0</v>
      </c>
      <c r="AQ185" s="358">
        <v>990</v>
      </c>
      <c r="AR185" s="355">
        <v>0</v>
      </c>
      <c r="AS185" s="358">
        <v>990</v>
      </c>
      <c r="AT185" s="355"/>
      <c r="AU185" s="358">
        <v>1980</v>
      </c>
      <c r="AV185" s="356">
        <v>0</v>
      </c>
    </row>
    <row r="186" spans="2:48" x14ac:dyDescent="0.25">
      <c r="B186" s="359" t="s">
        <v>528</v>
      </c>
      <c r="C186">
        <v>206146</v>
      </c>
      <c r="D186" t="s">
        <v>981</v>
      </c>
      <c r="E186" s="353">
        <v>7059</v>
      </c>
      <c r="F186" s="354">
        <v>1872</v>
      </c>
      <c r="G186" s="355">
        <v>0</v>
      </c>
      <c r="H186" s="356">
        <v>0</v>
      </c>
      <c r="I186" s="353">
        <v>5208</v>
      </c>
      <c r="J186" s="354">
        <v>1680</v>
      </c>
      <c r="K186" s="355">
        <v>0</v>
      </c>
      <c r="L186" s="356">
        <v>0</v>
      </c>
      <c r="M186" s="353">
        <v>3432</v>
      </c>
      <c r="N186" s="354">
        <v>660</v>
      </c>
      <c r="O186" s="355"/>
      <c r="P186" s="356"/>
      <c r="Q186" s="353">
        <v>15699</v>
      </c>
      <c r="R186" s="357">
        <v>4212</v>
      </c>
      <c r="S186" s="355">
        <v>0</v>
      </c>
      <c r="T186" s="356">
        <v>0</v>
      </c>
      <c r="V186" s="358">
        <v>624</v>
      </c>
      <c r="W186" s="355">
        <v>0</v>
      </c>
      <c r="X186" s="358">
        <v>420</v>
      </c>
      <c r="Y186" s="355">
        <v>0</v>
      </c>
      <c r="Z186" s="358">
        <v>0</v>
      </c>
      <c r="AA186" s="355"/>
      <c r="AB186" s="354">
        <v>1044</v>
      </c>
      <c r="AC186" s="355">
        <v>0</v>
      </c>
      <c r="AD186" s="358">
        <v>780</v>
      </c>
      <c r="AE186" s="355">
        <v>0</v>
      </c>
      <c r="AF186" s="358">
        <v>798</v>
      </c>
      <c r="AG186" s="355">
        <v>0</v>
      </c>
      <c r="AH186" s="358">
        <v>759</v>
      </c>
      <c r="AI186" s="355"/>
      <c r="AJ186" s="358">
        <v>2337</v>
      </c>
      <c r="AK186" s="356">
        <v>0</v>
      </c>
      <c r="AL186" s="358">
        <v>3381</v>
      </c>
      <c r="AM186" s="356">
        <v>0</v>
      </c>
      <c r="AO186" s="358">
        <v>2352</v>
      </c>
      <c r="AP186" s="355">
        <v>0</v>
      </c>
      <c r="AQ186" s="358">
        <v>627</v>
      </c>
      <c r="AR186" s="355">
        <v>0</v>
      </c>
      <c r="AS186" s="358">
        <v>627</v>
      </c>
      <c r="AT186" s="355"/>
      <c r="AU186" s="358">
        <v>3606</v>
      </c>
      <c r="AV186" s="356">
        <v>0</v>
      </c>
    </row>
    <row r="187" spans="2:48" x14ac:dyDescent="0.25">
      <c r="B187" s="359" t="s">
        <v>530</v>
      </c>
      <c r="C187" t="s">
        <v>529</v>
      </c>
      <c r="D187" t="s">
        <v>982</v>
      </c>
      <c r="E187" s="353">
        <v>4095</v>
      </c>
      <c r="F187" s="354">
        <v>0</v>
      </c>
      <c r="G187" s="355">
        <v>0</v>
      </c>
      <c r="H187" s="356">
        <v>0</v>
      </c>
      <c r="I187" s="353">
        <v>0</v>
      </c>
      <c r="J187" s="354">
        <v>0</v>
      </c>
      <c r="K187" s="355">
        <v>0</v>
      </c>
      <c r="L187" s="356">
        <v>0</v>
      </c>
      <c r="M187" s="353">
        <v>4620</v>
      </c>
      <c r="N187" s="354">
        <v>0</v>
      </c>
      <c r="O187" s="355"/>
      <c r="P187" s="356"/>
      <c r="Q187" s="353">
        <v>8715</v>
      </c>
      <c r="R187" s="357">
        <v>0</v>
      </c>
      <c r="S187" s="355">
        <v>0</v>
      </c>
      <c r="T187" s="356">
        <v>0</v>
      </c>
      <c r="V187" s="358">
        <v>3315</v>
      </c>
      <c r="W187" s="355">
        <v>0</v>
      </c>
      <c r="X187" s="358">
        <v>0</v>
      </c>
      <c r="Y187" s="355">
        <v>0</v>
      </c>
      <c r="Z187" s="358">
        <v>3465</v>
      </c>
      <c r="AA187" s="355"/>
      <c r="AB187" s="354">
        <v>6780</v>
      </c>
      <c r="AC187" s="355">
        <v>0</v>
      </c>
      <c r="AD187" s="358">
        <v>780</v>
      </c>
      <c r="AE187" s="355">
        <v>0</v>
      </c>
      <c r="AF187" s="358">
        <v>0</v>
      </c>
      <c r="AG187" s="355">
        <v>0</v>
      </c>
      <c r="AH187" s="358">
        <v>825</v>
      </c>
      <c r="AI187" s="355"/>
      <c r="AJ187" s="358">
        <v>1605</v>
      </c>
      <c r="AK187" s="356">
        <v>0</v>
      </c>
      <c r="AL187" s="358">
        <v>8385</v>
      </c>
      <c r="AM187" s="356">
        <v>0</v>
      </c>
      <c r="AO187" s="358">
        <v>0</v>
      </c>
      <c r="AP187" s="355">
        <v>0</v>
      </c>
      <c r="AQ187" s="358">
        <v>4125</v>
      </c>
      <c r="AR187" s="355">
        <v>0</v>
      </c>
      <c r="AS187" s="358">
        <v>4125</v>
      </c>
      <c r="AT187" s="355"/>
      <c r="AU187" s="358">
        <v>8250</v>
      </c>
      <c r="AV187" s="356">
        <v>0</v>
      </c>
    </row>
    <row r="188" spans="2:48" x14ac:dyDescent="0.25">
      <c r="B188" s="359" t="s">
        <v>983</v>
      </c>
      <c r="C188" t="s">
        <v>1345</v>
      </c>
      <c r="D188" t="s">
        <v>1345</v>
      </c>
      <c r="E188" s="353">
        <v>3315</v>
      </c>
      <c r="F188" s="354">
        <v>195</v>
      </c>
      <c r="G188" s="355">
        <v>0</v>
      </c>
      <c r="H188" s="356">
        <v>0</v>
      </c>
      <c r="I188" s="353">
        <v>3952.62</v>
      </c>
      <c r="J188" s="354">
        <v>611.24</v>
      </c>
      <c r="K188" s="355">
        <v>0</v>
      </c>
      <c r="L188" s="356">
        <v>0</v>
      </c>
      <c r="M188" s="353">
        <v>1650</v>
      </c>
      <c r="N188" s="354">
        <v>0</v>
      </c>
      <c r="O188" s="355"/>
      <c r="P188" s="356"/>
      <c r="Q188" s="353">
        <v>8917.619999999999</v>
      </c>
      <c r="R188" s="357">
        <v>806.24</v>
      </c>
      <c r="S188" s="355">
        <v>0</v>
      </c>
      <c r="T188" s="356">
        <v>0</v>
      </c>
      <c r="V188" s="358">
        <v>2535</v>
      </c>
      <c r="W188" s="355">
        <v>0</v>
      </c>
      <c r="X188" s="358">
        <v>2902.62</v>
      </c>
      <c r="Y188" s="355">
        <v>0</v>
      </c>
      <c r="Z188" s="358">
        <v>990</v>
      </c>
      <c r="AA188" s="355"/>
      <c r="AB188" s="354">
        <v>6427.62</v>
      </c>
      <c r="AC188" s="355">
        <v>0</v>
      </c>
      <c r="AD188" s="358">
        <v>780</v>
      </c>
      <c r="AE188" s="355">
        <v>0</v>
      </c>
      <c r="AF188" s="358">
        <v>1661.24</v>
      </c>
      <c r="AG188" s="355">
        <v>0</v>
      </c>
      <c r="AH188" s="358">
        <v>660</v>
      </c>
      <c r="AI188" s="355"/>
      <c r="AJ188" s="358">
        <v>3101.24</v>
      </c>
      <c r="AK188" s="356">
        <v>0</v>
      </c>
      <c r="AL188" s="358">
        <v>9528.86</v>
      </c>
      <c r="AM188" s="356">
        <v>0</v>
      </c>
      <c r="AO188" s="358">
        <v>2291.2399999999998</v>
      </c>
      <c r="AP188" s="355">
        <v>0</v>
      </c>
      <c r="AQ188" s="358">
        <v>0</v>
      </c>
      <c r="AR188" s="355">
        <v>0</v>
      </c>
      <c r="AS188" s="358">
        <v>0</v>
      </c>
      <c r="AT188" s="355"/>
      <c r="AU188" s="358">
        <v>2291.2399999999998</v>
      </c>
      <c r="AV188" s="356">
        <v>0</v>
      </c>
    </row>
    <row r="189" spans="2:48" x14ac:dyDescent="0.25">
      <c r="B189" s="359" t="s">
        <v>1346</v>
      </c>
      <c r="C189" t="s">
        <v>1347</v>
      </c>
      <c r="D189" t="s">
        <v>1347</v>
      </c>
      <c r="E189" s="353">
        <v>195</v>
      </c>
      <c r="F189" s="354">
        <v>0</v>
      </c>
      <c r="G189" s="355">
        <v>0</v>
      </c>
      <c r="H189" s="356">
        <v>0</v>
      </c>
      <c r="I189" s="353">
        <v>210</v>
      </c>
      <c r="J189" s="354">
        <v>0</v>
      </c>
      <c r="K189" s="355">
        <v>0</v>
      </c>
      <c r="L189" s="356">
        <v>0</v>
      </c>
      <c r="M189" s="353">
        <v>165</v>
      </c>
      <c r="N189" s="354">
        <v>0</v>
      </c>
      <c r="O189" s="355"/>
      <c r="P189" s="356"/>
      <c r="Q189" s="353">
        <v>570</v>
      </c>
      <c r="R189" s="357">
        <v>0</v>
      </c>
      <c r="S189" s="355">
        <v>0</v>
      </c>
      <c r="T189" s="356">
        <v>0</v>
      </c>
      <c r="V189" s="358">
        <v>0</v>
      </c>
      <c r="W189" s="355">
        <v>0</v>
      </c>
      <c r="X189" s="358">
        <v>0</v>
      </c>
      <c r="Y189" s="355">
        <v>0</v>
      </c>
      <c r="Z189" s="358">
        <v>0</v>
      </c>
      <c r="AA189" s="355"/>
      <c r="AB189" s="354">
        <v>0</v>
      </c>
      <c r="AC189" s="355">
        <v>0</v>
      </c>
      <c r="AD189" s="358">
        <v>0</v>
      </c>
      <c r="AE189" s="355">
        <v>0</v>
      </c>
      <c r="AF189" s="358">
        <v>0</v>
      </c>
      <c r="AG189" s="355">
        <v>0</v>
      </c>
      <c r="AH189" s="358">
        <v>0</v>
      </c>
      <c r="AI189" s="355"/>
      <c r="AJ189" s="358">
        <v>0</v>
      </c>
      <c r="AK189" s="356">
        <v>0</v>
      </c>
      <c r="AL189" s="358">
        <v>0</v>
      </c>
      <c r="AM189" s="356">
        <v>0</v>
      </c>
      <c r="AO189" s="358">
        <v>0</v>
      </c>
      <c r="AP189" s="355">
        <v>0</v>
      </c>
      <c r="AQ189" s="358">
        <v>0</v>
      </c>
      <c r="AR189" s="355">
        <v>0</v>
      </c>
      <c r="AS189" s="358">
        <v>0</v>
      </c>
      <c r="AT189" s="355"/>
      <c r="AU189" s="358">
        <v>0</v>
      </c>
      <c r="AV189" s="356">
        <v>0</v>
      </c>
    </row>
    <row r="190" spans="2:48" x14ac:dyDescent="0.25">
      <c r="B190" s="359" t="s">
        <v>531</v>
      </c>
      <c r="C190">
        <v>2534321</v>
      </c>
      <c r="D190" t="s">
        <v>985</v>
      </c>
      <c r="E190" s="353">
        <v>8970</v>
      </c>
      <c r="F190" s="354">
        <v>4992</v>
      </c>
      <c r="G190" s="355">
        <v>0</v>
      </c>
      <c r="H190" s="356">
        <v>0</v>
      </c>
      <c r="I190" s="353">
        <v>5389.2705263157886</v>
      </c>
      <c r="J190" s="354">
        <v>2519.2705263157895</v>
      </c>
      <c r="K190" s="355">
        <v>0</v>
      </c>
      <c r="L190" s="356">
        <v>0</v>
      </c>
      <c r="M190" s="353">
        <v>6039</v>
      </c>
      <c r="N190" s="354">
        <v>3135</v>
      </c>
      <c r="O190" s="355"/>
      <c r="P190" s="356"/>
      <c r="Q190" s="353">
        <v>20398.270526315788</v>
      </c>
      <c r="R190" s="357">
        <v>10646.27052631579</v>
      </c>
      <c r="S190" s="355">
        <v>0</v>
      </c>
      <c r="T190" s="356">
        <v>0</v>
      </c>
      <c r="V190" s="358">
        <v>2340</v>
      </c>
      <c r="W190" s="355">
        <v>0</v>
      </c>
      <c r="X190" s="358">
        <v>1469.7568421052631</v>
      </c>
      <c r="Y190" s="355">
        <v>0</v>
      </c>
      <c r="Z190" s="358">
        <v>1650</v>
      </c>
      <c r="AA190" s="355"/>
      <c r="AB190" s="354">
        <v>5459.7568421052629</v>
      </c>
      <c r="AC190" s="355">
        <v>0</v>
      </c>
      <c r="AD190" s="358">
        <v>6435</v>
      </c>
      <c r="AE190" s="355">
        <v>0</v>
      </c>
      <c r="AF190" s="358">
        <v>4129.5136842105258</v>
      </c>
      <c r="AG190" s="355">
        <v>0</v>
      </c>
      <c r="AH190" s="358">
        <v>4125</v>
      </c>
      <c r="AI190" s="355"/>
      <c r="AJ190" s="358">
        <v>14689.513684210526</v>
      </c>
      <c r="AK190" s="356">
        <v>0</v>
      </c>
      <c r="AL190" s="358">
        <v>20149.270526315788</v>
      </c>
      <c r="AM190" s="356">
        <v>0</v>
      </c>
      <c r="AO190" s="358">
        <v>0</v>
      </c>
      <c r="AP190" s="355">
        <v>0</v>
      </c>
      <c r="AQ190" s="358">
        <v>0</v>
      </c>
      <c r="AR190" s="355">
        <v>0</v>
      </c>
      <c r="AS190" s="358">
        <v>0</v>
      </c>
      <c r="AT190" s="355"/>
      <c r="AU190" s="358">
        <v>0</v>
      </c>
      <c r="AV190" s="356">
        <v>0</v>
      </c>
    </row>
    <row r="191" spans="2:48" x14ac:dyDescent="0.25">
      <c r="B191" s="359" t="s">
        <v>533</v>
      </c>
      <c r="C191" t="s">
        <v>532</v>
      </c>
      <c r="D191" t="s">
        <v>986</v>
      </c>
      <c r="E191" s="353">
        <v>8698.37526315789</v>
      </c>
      <c r="F191" s="354">
        <v>6748.4881578947343</v>
      </c>
      <c r="G191" s="355">
        <v>0</v>
      </c>
      <c r="H191" s="356">
        <v>0</v>
      </c>
      <c r="I191" s="353">
        <v>6045.4468421052607</v>
      </c>
      <c r="J191" s="354">
        <v>4407.4468421052616</v>
      </c>
      <c r="K191" s="355">
        <v>0</v>
      </c>
      <c r="L191" s="356">
        <v>0</v>
      </c>
      <c r="M191" s="353">
        <v>6663.1342105263138</v>
      </c>
      <c r="N191" s="354">
        <v>4782.2297368421032</v>
      </c>
      <c r="O191" s="355"/>
      <c r="P191" s="356"/>
      <c r="Q191" s="353">
        <v>21406.956315789466</v>
      </c>
      <c r="R191" s="357">
        <v>15938.1647368421</v>
      </c>
      <c r="S191" s="355">
        <v>0</v>
      </c>
      <c r="T191" s="356">
        <v>0</v>
      </c>
      <c r="V191" s="358">
        <v>974.54842105263151</v>
      </c>
      <c r="W191" s="355">
        <v>0</v>
      </c>
      <c r="X191" s="358">
        <v>419.7568421052631</v>
      </c>
      <c r="Y191" s="355">
        <v>0</v>
      </c>
      <c r="Z191" s="358">
        <v>824.617894736842</v>
      </c>
      <c r="AA191" s="355"/>
      <c r="AB191" s="354">
        <v>2218.9231578947365</v>
      </c>
      <c r="AC191" s="355">
        <v>0</v>
      </c>
      <c r="AD191" s="358">
        <v>1364.3226315789473</v>
      </c>
      <c r="AE191" s="355">
        <v>0</v>
      </c>
      <c r="AF191" s="358">
        <v>168</v>
      </c>
      <c r="AG191" s="355">
        <v>0</v>
      </c>
      <c r="AH191" s="358">
        <v>1319.235789473684</v>
      </c>
      <c r="AI191" s="355"/>
      <c r="AJ191" s="358">
        <v>2851.5584210526313</v>
      </c>
      <c r="AK191" s="356">
        <v>0</v>
      </c>
      <c r="AL191" s="358">
        <v>5070.4815789473678</v>
      </c>
      <c r="AM191" s="356">
        <v>0</v>
      </c>
      <c r="AO191" s="358">
        <v>419.7568421052631</v>
      </c>
      <c r="AP191" s="355">
        <v>0</v>
      </c>
      <c r="AQ191" s="358">
        <v>2968.8536842105259</v>
      </c>
      <c r="AR191" s="355">
        <v>0</v>
      </c>
      <c r="AS191" s="358">
        <v>2968.8536842105259</v>
      </c>
      <c r="AT191" s="355"/>
      <c r="AU191" s="358">
        <v>6357.4642105263147</v>
      </c>
      <c r="AV191" s="356">
        <v>0</v>
      </c>
    </row>
    <row r="192" spans="2:48" x14ac:dyDescent="0.25">
      <c r="B192" s="359" t="s">
        <v>535</v>
      </c>
      <c r="C192" t="s">
        <v>534</v>
      </c>
      <c r="D192" t="s">
        <v>987</v>
      </c>
      <c r="E192" s="353">
        <v>3705</v>
      </c>
      <c r="F192" s="354">
        <v>754</v>
      </c>
      <c r="G192" s="355">
        <v>0</v>
      </c>
      <c r="H192" s="356">
        <v>0</v>
      </c>
      <c r="I192" s="353">
        <v>1148</v>
      </c>
      <c r="J192" s="354">
        <v>0</v>
      </c>
      <c r="K192" s="355">
        <v>0</v>
      </c>
      <c r="L192" s="356">
        <v>0</v>
      </c>
      <c r="M192" s="353">
        <v>1980</v>
      </c>
      <c r="N192" s="354">
        <v>330</v>
      </c>
      <c r="O192" s="355"/>
      <c r="P192" s="356"/>
      <c r="Q192" s="353">
        <v>6833</v>
      </c>
      <c r="R192" s="357">
        <v>1084</v>
      </c>
      <c r="S192" s="355">
        <v>0</v>
      </c>
      <c r="T192" s="356">
        <v>0</v>
      </c>
      <c r="V192" s="358">
        <v>1612</v>
      </c>
      <c r="W192" s="355">
        <v>0</v>
      </c>
      <c r="X192" s="358">
        <v>0</v>
      </c>
      <c r="Y192" s="355">
        <v>0</v>
      </c>
      <c r="Z192" s="358">
        <v>330</v>
      </c>
      <c r="AA192" s="355"/>
      <c r="AB192" s="354">
        <v>1942</v>
      </c>
      <c r="AC192" s="355">
        <v>0</v>
      </c>
      <c r="AD192" s="358">
        <v>1170</v>
      </c>
      <c r="AE192" s="355">
        <v>0</v>
      </c>
      <c r="AF192" s="358">
        <v>420</v>
      </c>
      <c r="AG192" s="355">
        <v>0</v>
      </c>
      <c r="AH192" s="358">
        <v>660</v>
      </c>
      <c r="AI192" s="355"/>
      <c r="AJ192" s="358">
        <v>2250</v>
      </c>
      <c r="AK192" s="356">
        <v>0</v>
      </c>
      <c r="AL192" s="358">
        <v>4192</v>
      </c>
      <c r="AM192" s="356">
        <v>0</v>
      </c>
      <c r="AO192" s="358">
        <v>0</v>
      </c>
      <c r="AP192" s="355">
        <v>0</v>
      </c>
      <c r="AQ192" s="358">
        <v>495</v>
      </c>
      <c r="AR192" s="355">
        <v>0</v>
      </c>
      <c r="AS192" s="358">
        <v>495</v>
      </c>
      <c r="AT192" s="355"/>
      <c r="AU192" s="358">
        <v>990</v>
      </c>
      <c r="AV192" s="356">
        <v>0</v>
      </c>
    </row>
    <row r="193" spans="2:48" x14ac:dyDescent="0.25">
      <c r="B193" s="359" t="s">
        <v>537</v>
      </c>
      <c r="C193" t="s">
        <v>536</v>
      </c>
      <c r="D193" t="s">
        <v>988</v>
      </c>
      <c r="E193" s="353">
        <v>11184.809999999994</v>
      </c>
      <c r="F193" s="354">
        <v>2893.6460526315782</v>
      </c>
      <c r="G193" s="355">
        <v>0</v>
      </c>
      <c r="H193" s="356">
        <v>0</v>
      </c>
      <c r="I193" s="353">
        <v>4826.0099999999984</v>
      </c>
      <c r="J193" s="354">
        <v>1888.9057894736841</v>
      </c>
      <c r="K193" s="355">
        <v>0</v>
      </c>
      <c r="L193" s="356">
        <v>0</v>
      </c>
      <c r="M193" s="353">
        <v>7090.8923684210495</v>
      </c>
      <c r="N193" s="354">
        <v>2473.5671052631574</v>
      </c>
      <c r="O193" s="355"/>
      <c r="P193" s="356"/>
      <c r="Q193" s="353">
        <v>23101.712368421042</v>
      </c>
      <c r="R193" s="357">
        <v>7256.118947368419</v>
      </c>
      <c r="S193" s="355">
        <v>0</v>
      </c>
      <c r="T193" s="356">
        <v>0</v>
      </c>
      <c r="V193" s="358">
        <v>8515.7115789473664</v>
      </c>
      <c r="W193" s="355">
        <v>0</v>
      </c>
      <c r="X193" s="358">
        <v>3986.4963157894722</v>
      </c>
      <c r="Y193" s="355">
        <v>0</v>
      </c>
      <c r="Z193" s="358">
        <v>6101.4655263157911</v>
      </c>
      <c r="AA193" s="355"/>
      <c r="AB193" s="354">
        <v>18603.67342105263</v>
      </c>
      <c r="AC193" s="355">
        <v>0</v>
      </c>
      <c r="AD193" s="358">
        <v>4033.3081578947367</v>
      </c>
      <c r="AE193" s="355">
        <v>0</v>
      </c>
      <c r="AF193" s="358">
        <v>2098.7842105263153</v>
      </c>
      <c r="AG193" s="355">
        <v>0</v>
      </c>
      <c r="AH193" s="358">
        <v>2638.471578947368</v>
      </c>
      <c r="AI193" s="355"/>
      <c r="AJ193" s="358">
        <v>8770.5639473684205</v>
      </c>
      <c r="AK193" s="356">
        <v>0</v>
      </c>
      <c r="AL193" s="358">
        <v>27374.237368421051</v>
      </c>
      <c r="AM193" s="356">
        <v>0</v>
      </c>
      <c r="AO193" s="358">
        <v>5665.523684210526</v>
      </c>
      <c r="AP193" s="355">
        <v>0</v>
      </c>
      <c r="AQ193" s="358">
        <v>7420.7013157894771</v>
      </c>
      <c r="AR193" s="355">
        <v>0</v>
      </c>
      <c r="AS193" s="358">
        <v>7420.7013157894771</v>
      </c>
      <c r="AT193" s="355"/>
      <c r="AU193" s="358">
        <v>20506.926315789478</v>
      </c>
      <c r="AV193" s="356">
        <v>0</v>
      </c>
    </row>
    <row r="194" spans="2:48" x14ac:dyDescent="0.25">
      <c r="B194" s="359" t="s">
        <v>989</v>
      </c>
      <c r="C194" t="s">
        <v>990</v>
      </c>
      <c r="D194" t="s">
        <v>990</v>
      </c>
      <c r="E194" s="353">
        <v>0</v>
      </c>
      <c r="F194" s="354">
        <v>0</v>
      </c>
      <c r="G194" s="355">
        <v>0</v>
      </c>
      <c r="H194" s="356">
        <v>0</v>
      </c>
      <c r="I194" s="353">
        <v>0</v>
      </c>
      <c r="J194" s="354">
        <v>0</v>
      </c>
      <c r="K194" s="355">
        <v>0</v>
      </c>
      <c r="L194" s="356">
        <v>0</v>
      </c>
      <c r="M194" s="353">
        <v>0</v>
      </c>
      <c r="N194" s="354">
        <v>0</v>
      </c>
      <c r="O194" s="355"/>
      <c r="P194" s="356"/>
      <c r="Q194" s="353">
        <v>0</v>
      </c>
      <c r="R194" s="357">
        <v>0</v>
      </c>
      <c r="S194" s="355">
        <v>0</v>
      </c>
      <c r="T194" s="356">
        <v>0</v>
      </c>
      <c r="V194" s="358">
        <v>0</v>
      </c>
      <c r="W194" s="355">
        <v>0</v>
      </c>
      <c r="X194" s="358">
        <v>0</v>
      </c>
      <c r="Y194" s="355">
        <v>0</v>
      </c>
      <c r="Z194" s="358">
        <v>0</v>
      </c>
      <c r="AA194" s="355"/>
      <c r="AB194" s="354">
        <v>0</v>
      </c>
      <c r="AC194" s="355">
        <v>0</v>
      </c>
      <c r="AD194" s="358">
        <v>0</v>
      </c>
      <c r="AE194" s="355">
        <v>0</v>
      </c>
      <c r="AF194" s="358">
        <v>0</v>
      </c>
      <c r="AG194" s="355">
        <v>0</v>
      </c>
      <c r="AH194" s="358">
        <v>0</v>
      </c>
      <c r="AI194" s="355"/>
      <c r="AJ194" s="358">
        <v>0</v>
      </c>
      <c r="AK194" s="356">
        <v>0</v>
      </c>
      <c r="AL194" s="358">
        <v>0</v>
      </c>
      <c r="AM194" s="356">
        <v>0</v>
      </c>
      <c r="AO194" s="358">
        <v>0</v>
      </c>
      <c r="AP194" s="355">
        <v>0</v>
      </c>
      <c r="AQ194" s="358">
        <v>0</v>
      </c>
      <c r="AR194" s="355">
        <v>0</v>
      </c>
      <c r="AS194" s="358">
        <v>0</v>
      </c>
      <c r="AT194" s="355"/>
      <c r="AU194" s="358">
        <v>0</v>
      </c>
      <c r="AV194" s="356">
        <v>0</v>
      </c>
    </row>
    <row r="195" spans="2:48" x14ac:dyDescent="0.25">
      <c r="B195" s="359" t="s">
        <v>539</v>
      </c>
      <c r="C195" t="s">
        <v>538</v>
      </c>
      <c r="D195" t="s">
        <v>991</v>
      </c>
      <c r="E195" s="353">
        <v>8150.3157894736823</v>
      </c>
      <c r="F195" s="354">
        <v>3395.0526315789471</v>
      </c>
      <c r="G195" s="355">
        <v>0</v>
      </c>
      <c r="H195" s="356">
        <v>0</v>
      </c>
      <c r="I195" s="353">
        <v>5670</v>
      </c>
      <c r="J195" s="354">
        <v>3238.4210526315792</v>
      </c>
      <c r="K195" s="355">
        <v>0</v>
      </c>
      <c r="L195" s="356">
        <v>0</v>
      </c>
      <c r="M195" s="353">
        <v>5973</v>
      </c>
      <c r="N195" s="354">
        <v>2013</v>
      </c>
      <c r="O195" s="355"/>
      <c r="P195" s="356"/>
      <c r="Q195" s="353">
        <v>19793.315789473683</v>
      </c>
      <c r="R195" s="357">
        <v>8646.4736842105267</v>
      </c>
      <c r="S195" s="355">
        <v>0</v>
      </c>
      <c r="T195" s="356">
        <v>0</v>
      </c>
      <c r="V195" s="358">
        <v>4257.1578947368425</v>
      </c>
      <c r="W195" s="355">
        <v>0</v>
      </c>
      <c r="X195" s="358">
        <v>3150</v>
      </c>
      <c r="Y195" s="355">
        <v>0</v>
      </c>
      <c r="Z195" s="358">
        <v>2508</v>
      </c>
      <c r="AA195" s="355"/>
      <c r="AB195" s="354">
        <v>9915.1578947368434</v>
      </c>
      <c r="AC195" s="355">
        <v>0</v>
      </c>
      <c r="AD195" s="358">
        <v>4983.105263157895</v>
      </c>
      <c r="AE195" s="355">
        <v>0</v>
      </c>
      <c r="AF195" s="358">
        <v>2870</v>
      </c>
      <c r="AG195" s="355">
        <v>0</v>
      </c>
      <c r="AH195" s="358">
        <v>3927</v>
      </c>
      <c r="AI195" s="355"/>
      <c r="AJ195" s="358">
        <v>11780.105263157895</v>
      </c>
      <c r="AK195" s="356">
        <v>0</v>
      </c>
      <c r="AL195" s="358">
        <v>21695.26315789474</v>
      </c>
      <c r="AM195" s="356">
        <v>0</v>
      </c>
      <c r="AO195" s="358">
        <v>0</v>
      </c>
      <c r="AP195" s="355">
        <v>0</v>
      </c>
      <c r="AQ195" s="358">
        <v>0</v>
      </c>
      <c r="AR195" s="355">
        <v>0</v>
      </c>
      <c r="AS195" s="358">
        <v>0</v>
      </c>
      <c r="AT195" s="355"/>
      <c r="AU195" s="358">
        <v>0</v>
      </c>
      <c r="AV195" s="356">
        <v>0</v>
      </c>
    </row>
    <row r="196" spans="2:48" x14ac:dyDescent="0.25">
      <c r="B196" s="359" t="s">
        <v>541</v>
      </c>
      <c r="C196" t="s">
        <v>540</v>
      </c>
      <c r="D196" t="s">
        <v>992</v>
      </c>
      <c r="E196" s="353">
        <v>5476.0310526315779</v>
      </c>
      <c r="F196" s="354">
        <v>2634.3336842105259</v>
      </c>
      <c r="G196" s="355">
        <v>0</v>
      </c>
      <c r="H196" s="356">
        <v>0</v>
      </c>
      <c r="I196" s="353">
        <v>3569.3921052631576</v>
      </c>
      <c r="J196" s="354">
        <v>1651.3921052631579</v>
      </c>
      <c r="K196" s="355">
        <v>0</v>
      </c>
      <c r="L196" s="356">
        <v>0</v>
      </c>
      <c r="M196" s="353">
        <v>4166.5493157894753</v>
      </c>
      <c r="N196" s="354">
        <v>1757.8208421052632</v>
      </c>
      <c r="O196" s="355"/>
      <c r="P196" s="356"/>
      <c r="Q196" s="353">
        <v>13211.972473684211</v>
      </c>
      <c r="R196" s="357">
        <v>6043.5466315789472</v>
      </c>
      <c r="S196" s="355">
        <v>0</v>
      </c>
      <c r="T196" s="356">
        <v>0</v>
      </c>
      <c r="V196" s="358">
        <v>3411.0015789473682</v>
      </c>
      <c r="W196" s="355">
        <v>0</v>
      </c>
      <c r="X196" s="358">
        <v>2309.7568421052629</v>
      </c>
      <c r="Y196" s="355">
        <v>0</v>
      </c>
      <c r="Z196" s="358">
        <v>1967.3569473684211</v>
      </c>
      <c r="AA196" s="355"/>
      <c r="AB196" s="354">
        <v>7688.1153684210522</v>
      </c>
      <c r="AC196" s="355">
        <v>0</v>
      </c>
      <c r="AD196" s="358">
        <v>974.77421052631576</v>
      </c>
      <c r="AE196" s="355">
        <v>0</v>
      </c>
      <c r="AF196" s="358">
        <v>1049.7568421052631</v>
      </c>
      <c r="AG196" s="355">
        <v>0</v>
      </c>
      <c r="AH196" s="358">
        <v>989.18542105263157</v>
      </c>
      <c r="AI196" s="355"/>
      <c r="AJ196" s="358">
        <v>3013.7164736842105</v>
      </c>
      <c r="AK196" s="356">
        <v>0</v>
      </c>
      <c r="AL196" s="358">
        <v>10701.831842105263</v>
      </c>
      <c r="AM196" s="356">
        <v>0</v>
      </c>
      <c r="AO196" s="358">
        <v>0</v>
      </c>
      <c r="AP196" s="355">
        <v>0</v>
      </c>
      <c r="AQ196" s="358">
        <v>660</v>
      </c>
      <c r="AR196" s="355">
        <v>0</v>
      </c>
      <c r="AS196" s="358">
        <v>660</v>
      </c>
      <c r="AT196" s="355"/>
      <c r="AU196" s="358">
        <v>1320</v>
      </c>
      <c r="AV196" s="356">
        <v>0</v>
      </c>
    </row>
    <row r="197" spans="2:48" x14ac:dyDescent="0.25">
      <c r="B197" s="359" t="s">
        <v>543</v>
      </c>
      <c r="C197" t="s">
        <v>542</v>
      </c>
      <c r="D197" t="s">
        <v>993</v>
      </c>
      <c r="E197" s="353">
        <v>2925</v>
      </c>
      <c r="F197" s="354">
        <v>975</v>
      </c>
      <c r="G197" s="355">
        <v>0</v>
      </c>
      <c r="H197" s="356">
        <v>0</v>
      </c>
      <c r="I197" s="353">
        <v>0</v>
      </c>
      <c r="J197" s="354">
        <v>0</v>
      </c>
      <c r="K197" s="355">
        <v>0</v>
      </c>
      <c r="L197" s="356">
        <v>0</v>
      </c>
      <c r="M197" s="353">
        <v>1980</v>
      </c>
      <c r="N197" s="354">
        <v>330</v>
      </c>
      <c r="O197" s="355"/>
      <c r="P197" s="356"/>
      <c r="Q197" s="353">
        <v>4905</v>
      </c>
      <c r="R197" s="357">
        <v>1305</v>
      </c>
      <c r="S197" s="355">
        <v>0</v>
      </c>
      <c r="T197" s="356">
        <v>0</v>
      </c>
      <c r="V197" s="358">
        <v>2340</v>
      </c>
      <c r="W197" s="355">
        <v>0</v>
      </c>
      <c r="X197" s="358">
        <v>0</v>
      </c>
      <c r="Y197" s="355">
        <v>0</v>
      </c>
      <c r="Z197" s="358">
        <v>1485</v>
      </c>
      <c r="AA197" s="355"/>
      <c r="AB197" s="354">
        <v>3825</v>
      </c>
      <c r="AC197" s="355">
        <v>0</v>
      </c>
      <c r="AD197" s="358">
        <v>585</v>
      </c>
      <c r="AE197" s="355">
        <v>0</v>
      </c>
      <c r="AF197" s="358">
        <v>0</v>
      </c>
      <c r="AG197" s="355">
        <v>0</v>
      </c>
      <c r="AH197" s="358">
        <v>330</v>
      </c>
      <c r="AI197" s="355"/>
      <c r="AJ197" s="358">
        <v>915</v>
      </c>
      <c r="AK197" s="356">
        <v>0</v>
      </c>
      <c r="AL197" s="358">
        <v>4740</v>
      </c>
      <c r="AM197" s="356">
        <v>0</v>
      </c>
      <c r="AO197" s="358">
        <v>0</v>
      </c>
      <c r="AP197" s="355">
        <v>0</v>
      </c>
      <c r="AQ197" s="358">
        <v>0</v>
      </c>
      <c r="AR197" s="355">
        <v>0</v>
      </c>
      <c r="AS197" s="358">
        <v>0</v>
      </c>
      <c r="AT197" s="355"/>
      <c r="AU197" s="358">
        <v>0</v>
      </c>
      <c r="AV197" s="356">
        <v>0</v>
      </c>
    </row>
    <row r="198" spans="2:48" x14ac:dyDescent="0.25">
      <c r="B198" s="359" t="s">
        <v>545</v>
      </c>
      <c r="C198" t="s">
        <v>544</v>
      </c>
      <c r="D198" t="s">
        <v>994</v>
      </c>
      <c r="E198" s="353">
        <v>6532.5</v>
      </c>
      <c r="F198" s="354">
        <v>529.75</v>
      </c>
      <c r="G198" s="355">
        <v>0</v>
      </c>
      <c r="H198" s="356">
        <v>0</v>
      </c>
      <c r="I198" s="353">
        <v>4956</v>
      </c>
      <c r="J198" s="354">
        <v>1018.5</v>
      </c>
      <c r="K198" s="355">
        <v>0</v>
      </c>
      <c r="L198" s="356">
        <v>0</v>
      </c>
      <c r="M198" s="353">
        <v>4323</v>
      </c>
      <c r="N198" s="354">
        <v>464.75</v>
      </c>
      <c r="O198" s="355"/>
      <c r="P198" s="356"/>
      <c r="Q198" s="353">
        <v>15811.5</v>
      </c>
      <c r="R198" s="357">
        <v>2013</v>
      </c>
      <c r="S198" s="355">
        <v>0</v>
      </c>
      <c r="T198" s="356">
        <v>0</v>
      </c>
      <c r="V198" s="358">
        <v>0</v>
      </c>
      <c r="W198" s="355">
        <v>0</v>
      </c>
      <c r="X198" s="358">
        <v>577.5</v>
      </c>
      <c r="Y198" s="355">
        <v>0</v>
      </c>
      <c r="Z198" s="358">
        <v>0</v>
      </c>
      <c r="AA198" s="355"/>
      <c r="AB198" s="354">
        <v>577.5</v>
      </c>
      <c r="AC198" s="355">
        <v>0</v>
      </c>
      <c r="AD198" s="358">
        <v>3048.5</v>
      </c>
      <c r="AE198" s="355">
        <v>0</v>
      </c>
      <c r="AF198" s="358">
        <v>1123.5</v>
      </c>
      <c r="AG198" s="355">
        <v>0</v>
      </c>
      <c r="AH198" s="358">
        <v>2395.25</v>
      </c>
      <c r="AI198" s="355"/>
      <c r="AJ198" s="358">
        <v>6567.25</v>
      </c>
      <c r="AK198" s="356">
        <v>0</v>
      </c>
      <c r="AL198" s="358">
        <v>7144.75</v>
      </c>
      <c r="AM198" s="356">
        <v>0</v>
      </c>
      <c r="AO198" s="358">
        <v>2499</v>
      </c>
      <c r="AP198" s="355">
        <v>0</v>
      </c>
      <c r="AQ198" s="358">
        <v>2546.5</v>
      </c>
      <c r="AR198" s="355">
        <v>0</v>
      </c>
      <c r="AS198" s="358">
        <v>2546.5</v>
      </c>
      <c r="AT198" s="355"/>
      <c r="AU198" s="358">
        <v>7592</v>
      </c>
      <c r="AV198" s="356">
        <v>0</v>
      </c>
    </row>
    <row r="199" spans="2:48" x14ac:dyDescent="0.25">
      <c r="B199" s="359" t="s">
        <v>547</v>
      </c>
      <c r="C199" t="s">
        <v>546</v>
      </c>
      <c r="D199" t="s">
        <v>995</v>
      </c>
      <c r="E199" s="353">
        <v>2847</v>
      </c>
      <c r="F199" s="354">
        <v>1170</v>
      </c>
      <c r="G199" s="355">
        <v>0</v>
      </c>
      <c r="H199" s="356">
        <v>0</v>
      </c>
      <c r="I199" s="353">
        <v>1876</v>
      </c>
      <c r="J199" s="354">
        <v>1624</v>
      </c>
      <c r="K199" s="355">
        <v>0</v>
      </c>
      <c r="L199" s="356">
        <v>0</v>
      </c>
      <c r="M199" s="353">
        <v>1551</v>
      </c>
      <c r="N199" s="354">
        <v>858</v>
      </c>
      <c r="O199" s="355"/>
      <c r="P199" s="356"/>
      <c r="Q199" s="353">
        <v>6274</v>
      </c>
      <c r="R199" s="357">
        <v>3652</v>
      </c>
      <c r="S199" s="355">
        <v>0</v>
      </c>
      <c r="T199" s="356">
        <v>0</v>
      </c>
      <c r="V199" s="358">
        <v>195</v>
      </c>
      <c r="W199" s="355">
        <v>0</v>
      </c>
      <c r="X199" s="358">
        <v>336</v>
      </c>
      <c r="Y199" s="355">
        <v>0</v>
      </c>
      <c r="Z199" s="358">
        <v>0</v>
      </c>
      <c r="AA199" s="355"/>
      <c r="AB199" s="354">
        <v>531</v>
      </c>
      <c r="AC199" s="355">
        <v>0</v>
      </c>
      <c r="AD199" s="358">
        <v>0</v>
      </c>
      <c r="AE199" s="355">
        <v>0</v>
      </c>
      <c r="AF199" s="358">
        <v>0</v>
      </c>
      <c r="AG199" s="355">
        <v>0</v>
      </c>
      <c r="AH199" s="358">
        <v>0</v>
      </c>
      <c r="AI199" s="355"/>
      <c r="AJ199" s="358">
        <v>0</v>
      </c>
      <c r="AK199" s="356">
        <v>0</v>
      </c>
      <c r="AL199" s="358">
        <v>531</v>
      </c>
      <c r="AM199" s="356">
        <v>0</v>
      </c>
      <c r="AO199" s="358">
        <v>0</v>
      </c>
      <c r="AP199" s="355">
        <v>0</v>
      </c>
      <c r="AQ199" s="358">
        <v>0</v>
      </c>
      <c r="AR199" s="355">
        <v>0</v>
      </c>
      <c r="AS199" s="358">
        <v>0</v>
      </c>
      <c r="AT199" s="355"/>
      <c r="AU199" s="358">
        <v>0</v>
      </c>
      <c r="AV199" s="356">
        <v>0</v>
      </c>
    </row>
    <row r="200" spans="2:48" x14ac:dyDescent="0.25">
      <c r="B200" s="359" t="s">
        <v>996</v>
      </c>
      <c r="C200" t="s">
        <v>997</v>
      </c>
      <c r="D200" t="s">
        <v>997</v>
      </c>
      <c r="E200" s="353">
        <v>6435</v>
      </c>
      <c r="F200" s="354">
        <v>2853.5</v>
      </c>
      <c r="G200" s="355">
        <v>0</v>
      </c>
      <c r="H200" s="356">
        <v>0</v>
      </c>
      <c r="I200" s="353">
        <v>6930</v>
      </c>
      <c r="J200" s="354">
        <v>1680</v>
      </c>
      <c r="K200" s="355">
        <v>0</v>
      </c>
      <c r="L200" s="356">
        <v>0</v>
      </c>
      <c r="M200" s="353">
        <v>4587</v>
      </c>
      <c r="N200" s="354">
        <v>2084.5</v>
      </c>
      <c r="O200" s="355"/>
      <c r="P200" s="356"/>
      <c r="Q200" s="353">
        <v>17952</v>
      </c>
      <c r="R200" s="357">
        <v>6618</v>
      </c>
      <c r="S200" s="355">
        <v>0</v>
      </c>
      <c r="T200" s="356">
        <v>0</v>
      </c>
      <c r="V200" s="358">
        <v>3484</v>
      </c>
      <c r="W200" s="355">
        <v>0</v>
      </c>
      <c r="X200" s="358">
        <v>2940</v>
      </c>
      <c r="Y200" s="355">
        <v>0</v>
      </c>
      <c r="Z200" s="358">
        <v>2288</v>
      </c>
      <c r="AA200" s="355"/>
      <c r="AB200" s="354">
        <v>8712</v>
      </c>
      <c r="AC200" s="355">
        <v>0</v>
      </c>
      <c r="AD200" s="358">
        <v>2691</v>
      </c>
      <c r="AE200" s="355">
        <v>0</v>
      </c>
      <c r="AF200" s="358">
        <v>3150</v>
      </c>
      <c r="AG200" s="355">
        <v>0</v>
      </c>
      <c r="AH200" s="358">
        <v>2112</v>
      </c>
      <c r="AI200" s="355"/>
      <c r="AJ200" s="358">
        <v>7953</v>
      </c>
      <c r="AK200" s="356">
        <v>0</v>
      </c>
      <c r="AL200" s="358">
        <v>16665</v>
      </c>
      <c r="AM200" s="356">
        <v>0</v>
      </c>
      <c r="AO200" s="358">
        <v>2520</v>
      </c>
      <c r="AP200" s="355">
        <v>0</v>
      </c>
      <c r="AQ200" s="358">
        <v>2799.5</v>
      </c>
      <c r="AR200" s="355">
        <v>0</v>
      </c>
      <c r="AS200" s="358">
        <v>2799.5</v>
      </c>
      <c r="AT200" s="355"/>
      <c r="AU200" s="358">
        <v>8119</v>
      </c>
      <c r="AV200" s="356">
        <v>0</v>
      </c>
    </row>
    <row r="201" spans="2:48" x14ac:dyDescent="0.25">
      <c r="B201" s="359" t="s">
        <v>550</v>
      </c>
      <c r="C201" t="s">
        <v>549</v>
      </c>
      <c r="D201" t="s">
        <v>998</v>
      </c>
      <c r="E201" s="353">
        <v>5318.4231578947392</v>
      </c>
      <c r="F201" s="354">
        <v>3658.5831578947382</v>
      </c>
      <c r="G201" s="355">
        <v>0</v>
      </c>
      <c r="H201" s="356">
        <v>0</v>
      </c>
      <c r="I201" s="353">
        <v>3919.5873684210533</v>
      </c>
      <c r="J201" s="354">
        <v>3392.5536842105271</v>
      </c>
      <c r="K201" s="355">
        <v>0</v>
      </c>
      <c r="L201" s="356">
        <v>0</v>
      </c>
      <c r="M201" s="353">
        <v>4005.2505263157909</v>
      </c>
      <c r="N201" s="354">
        <v>2780.5221052631587</v>
      </c>
      <c r="O201" s="355"/>
      <c r="P201" s="356"/>
      <c r="Q201" s="353">
        <v>13243.261052631584</v>
      </c>
      <c r="R201" s="357">
        <v>9831.6589473684235</v>
      </c>
      <c r="S201" s="355">
        <v>0</v>
      </c>
      <c r="T201" s="356">
        <v>0</v>
      </c>
      <c r="V201" s="358">
        <v>1011.5094736842107</v>
      </c>
      <c r="W201" s="355">
        <v>0</v>
      </c>
      <c r="X201" s="358">
        <v>1872.1389473684212</v>
      </c>
      <c r="Y201" s="355">
        <v>0</v>
      </c>
      <c r="Z201" s="358">
        <v>900.74947368421067</v>
      </c>
      <c r="AA201" s="355"/>
      <c r="AB201" s="354">
        <v>3784.3978947368423</v>
      </c>
      <c r="AC201" s="355">
        <v>0</v>
      </c>
      <c r="AD201" s="358">
        <v>3184.5757894736844</v>
      </c>
      <c r="AE201" s="355">
        <v>0</v>
      </c>
      <c r="AF201" s="358">
        <v>2692.9810526315791</v>
      </c>
      <c r="AG201" s="355">
        <v>0</v>
      </c>
      <c r="AH201" s="358">
        <v>2221.8147368421055</v>
      </c>
      <c r="AI201" s="355"/>
      <c r="AJ201" s="358">
        <v>8099.3715789473681</v>
      </c>
      <c r="AK201" s="356">
        <v>0</v>
      </c>
      <c r="AL201" s="358">
        <v>11883.76947368421</v>
      </c>
      <c r="AM201" s="356">
        <v>0</v>
      </c>
      <c r="AO201" s="358">
        <v>0</v>
      </c>
      <c r="AP201" s="355">
        <v>0</v>
      </c>
      <c r="AQ201" s="358">
        <v>90.31578947368422</v>
      </c>
      <c r="AR201" s="355">
        <v>0</v>
      </c>
      <c r="AS201" s="358">
        <v>90.31578947368422</v>
      </c>
      <c r="AT201" s="355"/>
      <c r="AU201" s="358">
        <v>180.63157894736844</v>
      </c>
      <c r="AV201" s="356">
        <v>0</v>
      </c>
    </row>
    <row r="202" spans="2:48" x14ac:dyDescent="0.25">
      <c r="B202" s="359" t="s">
        <v>551</v>
      </c>
      <c r="C202" t="s">
        <v>999</v>
      </c>
      <c r="D202" t="s">
        <v>999</v>
      </c>
      <c r="E202" s="353">
        <v>9731.8855263157893</v>
      </c>
      <c r="F202" s="354">
        <v>2560.5484210526311</v>
      </c>
      <c r="G202" s="355">
        <v>0</v>
      </c>
      <c r="H202" s="356">
        <v>0</v>
      </c>
      <c r="I202" s="353">
        <v>5812.7705263157895</v>
      </c>
      <c r="J202" s="354">
        <v>1656.222105263158</v>
      </c>
      <c r="K202" s="355">
        <v>0</v>
      </c>
      <c r="L202" s="356">
        <v>0</v>
      </c>
      <c r="M202" s="353">
        <v>7410.676842105262</v>
      </c>
      <c r="N202" s="354">
        <v>1695.9510526315792</v>
      </c>
      <c r="O202" s="355"/>
      <c r="P202" s="356"/>
      <c r="Q202" s="353">
        <v>22955.332894736843</v>
      </c>
      <c r="R202" s="357">
        <v>5912.7215789473685</v>
      </c>
      <c r="S202" s="355">
        <v>0</v>
      </c>
      <c r="T202" s="356">
        <v>0</v>
      </c>
      <c r="V202" s="358">
        <v>6352.7749999999996</v>
      </c>
      <c r="W202" s="355">
        <v>0</v>
      </c>
      <c r="X202" s="358">
        <v>3955.4789473684204</v>
      </c>
      <c r="Y202" s="355">
        <v>0</v>
      </c>
      <c r="Z202" s="358">
        <v>4999.5752631578953</v>
      </c>
      <c r="AA202" s="355"/>
      <c r="AB202" s="354">
        <v>15307.829210526314</v>
      </c>
      <c r="AC202" s="355">
        <v>0</v>
      </c>
      <c r="AD202" s="358">
        <v>975</v>
      </c>
      <c r="AE202" s="355">
        <v>0</v>
      </c>
      <c r="AF202" s="358">
        <v>826</v>
      </c>
      <c r="AG202" s="355">
        <v>0</v>
      </c>
      <c r="AH202" s="358">
        <v>629.75</v>
      </c>
      <c r="AI202" s="355"/>
      <c r="AJ202" s="358">
        <v>2430.75</v>
      </c>
      <c r="AK202" s="356">
        <v>0</v>
      </c>
      <c r="AL202" s="358">
        <v>17738.579210526314</v>
      </c>
      <c r="AM202" s="356">
        <v>0</v>
      </c>
      <c r="AO202" s="358">
        <v>1036</v>
      </c>
      <c r="AP202" s="355">
        <v>0</v>
      </c>
      <c r="AQ202" s="358">
        <v>1729.75</v>
      </c>
      <c r="AR202" s="355">
        <v>0</v>
      </c>
      <c r="AS202" s="358">
        <v>1729.75</v>
      </c>
      <c r="AT202" s="355"/>
      <c r="AU202" s="358">
        <v>4495.5</v>
      </c>
      <c r="AV202" s="356">
        <v>0</v>
      </c>
    </row>
    <row r="203" spans="2:48" x14ac:dyDescent="0.25">
      <c r="B203" s="359" t="s">
        <v>553</v>
      </c>
      <c r="C203" t="s">
        <v>552</v>
      </c>
      <c r="D203" t="s">
        <v>1000</v>
      </c>
      <c r="E203" s="353">
        <v>7683</v>
      </c>
      <c r="F203" s="354">
        <v>4368</v>
      </c>
      <c r="G203" s="355">
        <v>0</v>
      </c>
      <c r="H203" s="356">
        <v>0</v>
      </c>
      <c r="I203" s="353">
        <v>4830</v>
      </c>
      <c r="J203" s="354">
        <v>2548</v>
      </c>
      <c r="K203" s="355">
        <v>0</v>
      </c>
      <c r="L203" s="356">
        <v>0</v>
      </c>
      <c r="M203" s="353">
        <v>5280</v>
      </c>
      <c r="N203" s="354">
        <v>3019.5</v>
      </c>
      <c r="O203" s="355"/>
      <c r="P203" s="356"/>
      <c r="Q203" s="353">
        <v>17793</v>
      </c>
      <c r="R203" s="357">
        <v>9935.5</v>
      </c>
      <c r="S203" s="355">
        <v>0</v>
      </c>
      <c r="T203" s="356">
        <v>0</v>
      </c>
      <c r="V203" s="358">
        <v>0</v>
      </c>
      <c r="W203" s="355">
        <v>0</v>
      </c>
      <c r="X203" s="358">
        <v>0</v>
      </c>
      <c r="Y203" s="355">
        <v>0</v>
      </c>
      <c r="Z203" s="358">
        <v>0</v>
      </c>
      <c r="AA203" s="355"/>
      <c r="AB203" s="354">
        <v>0</v>
      </c>
      <c r="AC203" s="355">
        <v>0</v>
      </c>
      <c r="AD203" s="358">
        <v>0</v>
      </c>
      <c r="AE203" s="355">
        <v>0</v>
      </c>
      <c r="AF203" s="358">
        <v>0</v>
      </c>
      <c r="AG203" s="355">
        <v>0</v>
      </c>
      <c r="AH203" s="358">
        <v>0</v>
      </c>
      <c r="AI203" s="355"/>
      <c r="AJ203" s="358">
        <v>0</v>
      </c>
      <c r="AK203" s="356">
        <v>0</v>
      </c>
      <c r="AL203" s="358">
        <v>0</v>
      </c>
      <c r="AM203" s="356">
        <v>0</v>
      </c>
      <c r="AO203" s="358">
        <v>0</v>
      </c>
      <c r="AP203" s="355">
        <v>0</v>
      </c>
      <c r="AQ203" s="358">
        <v>0</v>
      </c>
      <c r="AR203" s="355">
        <v>0</v>
      </c>
      <c r="AS203" s="358">
        <v>0</v>
      </c>
      <c r="AT203" s="355"/>
      <c r="AU203" s="358">
        <v>0</v>
      </c>
      <c r="AV203" s="356">
        <v>0</v>
      </c>
    </row>
    <row r="204" spans="2:48" x14ac:dyDescent="0.25">
      <c r="B204" s="359" t="s">
        <v>554</v>
      </c>
      <c r="C204">
        <v>206103</v>
      </c>
      <c r="D204" t="s">
        <v>1001</v>
      </c>
      <c r="E204" s="353">
        <v>9613.5</v>
      </c>
      <c r="F204" s="354">
        <v>5304</v>
      </c>
      <c r="G204" s="355">
        <v>0</v>
      </c>
      <c r="H204" s="356">
        <v>0</v>
      </c>
      <c r="I204" s="353">
        <v>6678</v>
      </c>
      <c r="J204" s="354">
        <v>3682</v>
      </c>
      <c r="K204" s="355">
        <v>0</v>
      </c>
      <c r="L204" s="356">
        <v>0</v>
      </c>
      <c r="M204" s="353">
        <v>6484.5</v>
      </c>
      <c r="N204" s="354">
        <v>4185.5</v>
      </c>
      <c r="O204" s="355"/>
      <c r="P204" s="356"/>
      <c r="Q204" s="353">
        <v>22776</v>
      </c>
      <c r="R204" s="357">
        <v>13171.5</v>
      </c>
      <c r="S204" s="355">
        <v>0</v>
      </c>
      <c r="T204" s="356">
        <v>0</v>
      </c>
      <c r="V204" s="358">
        <v>2203.5</v>
      </c>
      <c r="W204" s="355">
        <v>0</v>
      </c>
      <c r="X204" s="358">
        <v>1680</v>
      </c>
      <c r="Y204" s="355">
        <v>0</v>
      </c>
      <c r="Z204" s="358">
        <v>1980</v>
      </c>
      <c r="AA204" s="355"/>
      <c r="AB204" s="354">
        <v>5863.5</v>
      </c>
      <c r="AC204" s="355">
        <v>0</v>
      </c>
      <c r="AD204" s="358">
        <v>4504.5</v>
      </c>
      <c r="AE204" s="355">
        <v>0</v>
      </c>
      <c r="AF204" s="358">
        <v>2226</v>
      </c>
      <c r="AG204" s="355">
        <v>0</v>
      </c>
      <c r="AH204" s="358">
        <v>3646.5</v>
      </c>
      <c r="AI204" s="355"/>
      <c r="AJ204" s="358">
        <v>10377</v>
      </c>
      <c r="AK204" s="356">
        <v>0</v>
      </c>
      <c r="AL204" s="358">
        <v>16240.5</v>
      </c>
      <c r="AM204" s="356">
        <v>0</v>
      </c>
      <c r="AO204" s="358">
        <v>0</v>
      </c>
      <c r="AP204" s="355">
        <v>0</v>
      </c>
      <c r="AQ204" s="358">
        <v>0</v>
      </c>
      <c r="AR204" s="355">
        <v>0</v>
      </c>
      <c r="AS204" s="358">
        <v>0</v>
      </c>
      <c r="AT204" s="355"/>
      <c r="AU204" s="358">
        <v>0</v>
      </c>
      <c r="AV204" s="356">
        <v>0</v>
      </c>
    </row>
    <row r="205" spans="2:48" x14ac:dyDescent="0.25">
      <c r="B205" s="359" t="s">
        <v>555</v>
      </c>
      <c r="C205">
        <v>2614882</v>
      </c>
      <c r="D205" t="s">
        <v>1002</v>
      </c>
      <c r="E205" s="353">
        <v>8237.9289473684184</v>
      </c>
      <c r="F205" s="354">
        <v>4643.9215789473665</v>
      </c>
      <c r="G205" s="355">
        <v>0</v>
      </c>
      <c r="H205" s="356">
        <v>0</v>
      </c>
      <c r="I205" s="353">
        <v>6534.7468421052599</v>
      </c>
      <c r="J205" s="354">
        <v>3992.3873684210516</v>
      </c>
      <c r="K205" s="355">
        <v>0</v>
      </c>
      <c r="L205" s="356">
        <v>0</v>
      </c>
      <c r="M205" s="353">
        <v>6398.6131578947352</v>
      </c>
      <c r="N205" s="354">
        <v>3739.4702631578953</v>
      </c>
      <c r="O205" s="355"/>
      <c r="P205" s="356"/>
      <c r="Q205" s="353">
        <v>21171.288947368412</v>
      </c>
      <c r="R205" s="357">
        <v>12375.779210526312</v>
      </c>
      <c r="S205" s="355">
        <v>0</v>
      </c>
      <c r="T205" s="356">
        <v>0</v>
      </c>
      <c r="V205" s="358">
        <v>324.87</v>
      </c>
      <c r="W205" s="355">
        <v>0</v>
      </c>
      <c r="X205" s="358">
        <v>277.1447368421052</v>
      </c>
      <c r="Y205" s="355">
        <v>0</v>
      </c>
      <c r="Z205" s="358">
        <v>274.89</v>
      </c>
      <c r="AA205" s="355"/>
      <c r="AB205" s="354">
        <v>876.90473684210519</v>
      </c>
      <c r="AC205" s="355">
        <v>0</v>
      </c>
      <c r="AD205" s="358">
        <v>1351.6886842105262</v>
      </c>
      <c r="AE205" s="355">
        <v>0</v>
      </c>
      <c r="AF205" s="358">
        <v>1287.4768421052631</v>
      </c>
      <c r="AG205" s="355">
        <v>0</v>
      </c>
      <c r="AH205" s="358">
        <v>1011.8842105263157</v>
      </c>
      <c r="AI205" s="355"/>
      <c r="AJ205" s="358">
        <v>3651.0497368421047</v>
      </c>
      <c r="AK205" s="356">
        <v>0</v>
      </c>
      <c r="AL205" s="358">
        <v>4527.9544736842099</v>
      </c>
      <c r="AM205" s="356">
        <v>0</v>
      </c>
      <c r="AO205" s="358">
        <v>0</v>
      </c>
      <c r="AP205" s="355">
        <v>0</v>
      </c>
      <c r="AQ205" s="358">
        <v>0</v>
      </c>
      <c r="AR205" s="355">
        <v>0</v>
      </c>
      <c r="AS205" s="358">
        <v>0</v>
      </c>
      <c r="AT205" s="355"/>
      <c r="AU205" s="358">
        <v>0</v>
      </c>
      <c r="AV205" s="356">
        <v>0</v>
      </c>
    </row>
    <row r="206" spans="2:48" x14ac:dyDescent="0.25">
      <c r="B206" s="359" t="s">
        <v>557</v>
      </c>
      <c r="C206" t="s">
        <v>556</v>
      </c>
      <c r="D206" t="s">
        <v>1003</v>
      </c>
      <c r="E206" s="353">
        <v>6341.0544736842103</v>
      </c>
      <c r="F206" s="354">
        <v>2216.4350000000004</v>
      </c>
      <c r="G206" s="355">
        <v>0</v>
      </c>
      <c r="H206" s="356">
        <v>0</v>
      </c>
      <c r="I206" s="353">
        <v>5662.8894736842103</v>
      </c>
      <c r="J206" s="354">
        <v>2498.9852631578947</v>
      </c>
      <c r="K206" s="355">
        <v>0</v>
      </c>
      <c r="L206" s="356">
        <v>0</v>
      </c>
      <c r="M206" s="353">
        <v>5114.586052631581</v>
      </c>
      <c r="N206" s="354">
        <v>1814.7365789473683</v>
      </c>
      <c r="O206" s="355"/>
      <c r="P206" s="356"/>
      <c r="Q206" s="353">
        <v>17118.530000000002</v>
      </c>
      <c r="R206" s="357">
        <v>6530.1568421052634</v>
      </c>
      <c r="S206" s="355">
        <v>0</v>
      </c>
      <c r="T206" s="356">
        <v>0</v>
      </c>
      <c r="V206" s="358">
        <v>1820</v>
      </c>
      <c r="W206" s="355">
        <v>0</v>
      </c>
      <c r="X206" s="358">
        <v>2296.5452631578946</v>
      </c>
      <c r="Y206" s="355">
        <v>0</v>
      </c>
      <c r="Z206" s="358">
        <v>1484.9247368421052</v>
      </c>
      <c r="AA206" s="355"/>
      <c r="AB206" s="354">
        <v>5601.4699999999993</v>
      </c>
      <c r="AC206" s="355">
        <v>0</v>
      </c>
      <c r="AD206" s="358">
        <v>3528.4976315789472</v>
      </c>
      <c r="AE206" s="355">
        <v>0</v>
      </c>
      <c r="AF206" s="358">
        <v>3989.5210526315786</v>
      </c>
      <c r="AG206" s="355">
        <v>0</v>
      </c>
      <c r="AH206" s="358">
        <v>3134.661315789474</v>
      </c>
      <c r="AI206" s="355"/>
      <c r="AJ206" s="358">
        <v>10652.68</v>
      </c>
      <c r="AK206" s="356">
        <v>0</v>
      </c>
      <c r="AL206" s="358">
        <v>16254.15</v>
      </c>
      <c r="AM206" s="356">
        <v>0</v>
      </c>
      <c r="AO206" s="358">
        <v>2309.7605263157893</v>
      </c>
      <c r="AP206" s="355">
        <v>0</v>
      </c>
      <c r="AQ206" s="358">
        <v>1154.887105263158</v>
      </c>
      <c r="AR206" s="355">
        <v>0</v>
      </c>
      <c r="AS206" s="358">
        <v>1154.887105263158</v>
      </c>
      <c r="AT206" s="355"/>
      <c r="AU206" s="358">
        <v>4619.5347368421053</v>
      </c>
      <c r="AV206" s="356"/>
    </row>
    <row r="207" spans="2:48" x14ac:dyDescent="0.25">
      <c r="B207" s="359" t="s">
        <v>560</v>
      </c>
      <c r="C207">
        <v>2498864</v>
      </c>
      <c r="D207" t="s">
        <v>1004</v>
      </c>
      <c r="E207" s="353">
        <v>6045</v>
      </c>
      <c r="F207" s="354">
        <v>4095</v>
      </c>
      <c r="G207" s="355">
        <v>0</v>
      </c>
      <c r="H207" s="356">
        <v>0</v>
      </c>
      <c r="I207" s="353">
        <v>3990</v>
      </c>
      <c r="J207" s="354">
        <v>2380</v>
      </c>
      <c r="K207" s="355">
        <v>0</v>
      </c>
      <c r="L207" s="356">
        <v>0</v>
      </c>
      <c r="M207" s="353">
        <v>3795</v>
      </c>
      <c r="N207" s="354">
        <v>2145</v>
      </c>
      <c r="O207" s="355"/>
      <c r="P207" s="356"/>
      <c r="Q207" s="353">
        <v>13830</v>
      </c>
      <c r="R207" s="357">
        <v>8620</v>
      </c>
      <c r="S207" s="355">
        <v>0</v>
      </c>
      <c r="T207" s="356">
        <v>0</v>
      </c>
      <c r="V207" s="358">
        <v>1950</v>
      </c>
      <c r="W207" s="355">
        <v>0</v>
      </c>
      <c r="X207" s="358">
        <v>840</v>
      </c>
      <c r="Y207" s="355">
        <v>0</v>
      </c>
      <c r="Z207" s="358">
        <v>1485</v>
      </c>
      <c r="AA207" s="355"/>
      <c r="AB207" s="354">
        <v>4275</v>
      </c>
      <c r="AC207" s="355">
        <v>0</v>
      </c>
      <c r="AD207" s="358">
        <v>2730</v>
      </c>
      <c r="AE207" s="355">
        <v>0</v>
      </c>
      <c r="AF207" s="358">
        <v>840</v>
      </c>
      <c r="AG207" s="355">
        <v>0</v>
      </c>
      <c r="AH207" s="358">
        <v>1980</v>
      </c>
      <c r="AI207" s="355"/>
      <c r="AJ207" s="358">
        <v>5550</v>
      </c>
      <c r="AK207" s="356">
        <v>0</v>
      </c>
      <c r="AL207" s="358">
        <v>9825</v>
      </c>
      <c r="AM207" s="356">
        <v>0</v>
      </c>
      <c r="AO207" s="358">
        <v>0</v>
      </c>
      <c r="AP207" s="355">
        <v>0</v>
      </c>
      <c r="AQ207" s="358">
        <v>0</v>
      </c>
      <c r="AR207" s="355">
        <v>0</v>
      </c>
      <c r="AS207" s="358">
        <v>0</v>
      </c>
      <c r="AT207" s="355"/>
      <c r="AU207" s="358">
        <v>0</v>
      </c>
      <c r="AV207" s="356"/>
    </row>
    <row r="208" spans="2:48" x14ac:dyDescent="0.25">
      <c r="B208" s="359" t="s">
        <v>562</v>
      </c>
      <c r="C208" t="s">
        <v>561</v>
      </c>
      <c r="D208" t="s">
        <v>1005</v>
      </c>
      <c r="E208" s="353">
        <v>7586.5263157894733</v>
      </c>
      <c r="F208" s="354">
        <v>3491.5263157894742</v>
      </c>
      <c r="G208" s="355">
        <v>0</v>
      </c>
      <c r="H208" s="356">
        <v>0</v>
      </c>
      <c r="I208" s="353">
        <v>4393.4210526315792</v>
      </c>
      <c r="J208" s="354">
        <v>2713.4210526315792</v>
      </c>
      <c r="K208" s="355">
        <v>0</v>
      </c>
      <c r="L208" s="356">
        <v>0</v>
      </c>
      <c r="M208" s="353">
        <v>4934.3684210526317</v>
      </c>
      <c r="N208" s="354">
        <v>2129.3684210526317</v>
      </c>
      <c r="O208" s="355"/>
      <c r="P208" s="356"/>
      <c r="Q208" s="353">
        <v>16914.315789473687</v>
      </c>
      <c r="R208" s="357">
        <v>8334.3157894736851</v>
      </c>
      <c r="S208" s="355">
        <v>0</v>
      </c>
      <c r="T208" s="356">
        <v>0</v>
      </c>
      <c r="V208" s="358">
        <v>3887.6842105263158</v>
      </c>
      <c r="W208" s="355">
        <v>0</v>
      </c>
      <c r="X208" s="358">
        <v>1673.3684210526317</v>
      </c>
      <c r="Y208" s="355">
        <v>0</v>
      </c>
      <c r="Z208" s="358">
        <v>2299.5789473684208</v>
      </c>
      <c r="AA208" s="355"/>
      <c r="AB208" s="354">
        <v>7860.6315789473683</v>
      </c>
      <c r="AC208" s="355">
        <v>0</v>
      </c>
      <c r="AD208" s="358">
        <v>3686.5263157894738</v>
      </c>
      <c r="AE208" s="355">
        <v>0</v>
      </c>
      <c r="AF208" s="358">
        <v>2710.1052631578946</v>
      </c>
      <c r="AG208" s="355">
        <v>0</v>
      </c>
      <c r="AH208" s="358">
        <v>2459.3684210526317</v>
      </c>
      <c r="AI208" s="355"/>
      <c r="AJ208" s="358">
        <v>8856</v>
      </c>
      <c r="AK208" s="356">
        <v>0</v>
      </c>
      <c r="AL208" s="358">
        <v>16716.631578947367</v>
      </c>
      <c r="AM208" s="356">
        <v>0</v>
      </c>
      <c r="AO208" s="358">
        <v>630</v>
      </c>
      <c r="AP208" s="355">
        <v>0</v>
      </c>
      <c r="AQ208" s="358">
        <v>0</v>
      </c>
      <c r="AR208" s="355">
        <v>0</v>
      </c>
      <c r="AS208" s="358">
        <v>0</v>
      </c>
      <c r="AT208" s="355"/>
      <c r="AU208" s="358">
        <v>630</v>
      </c>
      <c r="AV208" s="356"/>
    </row>
    <row r="209" spans="2:48" x14ac:dyDescent="0.25">
      <c r="B209" s="359" t="s">
        <v>1006</v>
      </c>
      <c r="C209" t="s">
        <v>1007</v>
      </c>
      <c r="D209" t="s">
        <v>1007</v>
      </c>
      <c r="E209" s="353">
        <v>6776.4210526315765</v>
      </c>
      <c r="F209" s="354">
        <v>4587.1184210526308</v>
      </c>
      <c r="G209" s="355">
        <v>0</v>
      </c>
      <c r="H209" s="356">
        <v>0</v>
      </c>
      <c r="I209" s="353">
        <v>5040</v>
      </c>
      <c r="J209" s="354">
        <v>4203.6842105263167</v>
      </c>
      <c r="K209" s="355">
        <v>0</v>
      </c>
      <c r="L209" s="356">
        <v>0</v>
      </c>
      <c r="M209" s="353">
        <v>4499</v>
      </c>
      <c r="N209" s="354">
        <v>2915</v>
      </c>
      <c r="O209" s="355"/>
      <c r="P209" s="356"/>
      <c r="Q209" s="353">
        <v>16315.421052631576</v>
      </c>
      <c r="R209" s="357">
        <v>11705.802631578947</v>
      </c>
      <c r="S209" s="355">
        <v>0</v>
      </c>
      <c r="T209" s="356">
        <v>0</v>
      </c>
      <c r="V209" s="358">
        <v>1854.2105263157891</v>
      </c>
      <c r="W209" s="355">
        <v>0</v>
      </c>
      <c r="X209" s="358">
        <v>1628.421052631579</v>
      </c>
      <c r="Y209" s="355">
        <v>0</v>
      </c>
      <c r="Z209" s="358">
        <v>1320</v>
      </c>
      <c r="AA209" s="355"/>
      <c r="AB209" s="354">
        <v>4802.6315789473683</v>
      </c>
      <c r="AC209" s="355">
        <v>0</v>
      </c>
      <c r="AD209" s="358">
        <v>1816.0657894736842</v>
      </c>
      <c r="AE209" s="355">
        <v>0</v>
      </c>
      <c r="AF209" s="358">
        <v>420</v>
      </c>
      <c r="AG209" s="355">
        <v>0</v>
      </c>
      <c r="AH209" s="358">
        <v>1375</v>
      </c>
      <c r="AI209" s="355"/>
      <c r="AJ209" s="358">
        <v>3611.0657894736842</v>
      </c>
      <c r="AK209" s="356">
        <v>0</v>
      </c>
      <c r="AL209" s="358">
        <v>8413.6973684210534</v>
      </c>
      <c r="AM209" s="356">
        <v>0</v>
      </c>
      <c r="AO209" s="358">
        <v>0</v>
      </c>
      <c r="AP209" s="355">
        <v>0</v>
      </c>
      <c r="AQ209" s="358">
        <v>0</v>
      </c>
      <c r="AR209" s="355">
        <v>0</v>
      </c>
      <c r="AS209" s="358">
        <v>0</v>
      </c>
      <c r="AT209" s="355"/>
      <c r="AU209" s="358">
        <v>0</v>
      </c>
      <c r="AV209" s="356"/>
    </row>
    <row r="210" spans="2:48" x14ac:dyDescent="0.25">
      <c r="B210" s="359" t="s">
        <v>565</v>
      </c>
      <c r="C210" t="s">
        <v>564</v>
      </c>
      <c r="D210" t="s">
        <v>1008</v>
      </c>
      <c r="E210" s="353">
        <v>7860.9836842105251</v>
      </c>
      <c r="F210" s="354">
        <v>6312.3210526315788</v>
      </c>
      <c r="G210" s="355">
        <v>0</v>
      </c>
      <c r="H210" s="356">
        <v>0</v>
      </c>
      <c r="I210" s="353">
        <v>4175.8278947368408</v>
      </c>
      <c r="J210" s="354">
        <v>3899.3794736842092</v>
      </c>
      <c r="K210" s="355">
        <v>0</v>
      </c>
      <c r="L210" s="356">
        <v>0</v>
      </c>
      <c r="M210" s="353">
        <v>4954.9227894736869</v>
      </c>
      <c r="N210" s="354">
        <v>3953.6373684210539</v>
      </c>
      <c r="O210" s="355"/>
      <c r="P210" s="356"/>
      <c r="Q210" s="353">
        <v>16991.734368421054</v>
      </c>
      <c r="R210" s="357">
        <v>14165.337894736842</v>
      </c>
      <c r="S210" s="355">
        <v>0</v>
      </c>
      <c r="T210" s="356">
        <v>0</v>
      </c>
      <c r="V210" s="358">
        <v>2430.3397368421051</v>
      </c>
      <c r="W210" s="355">
        <v>0</v>
      </c>
      <c r="X210" s="358">
        <v>1049.3921052631576</v>
      </c>
      <c r="Y210" s="355">
        <v>0</v>
      </c>
      <c r="Z210" s="358">
        <v>2142.4404736842107</v>
      </c>
      <c r="AA210" s="355"/>
      <c r="AB210" s="354">
        <v>5622.1723157894739</v>
      </c>
      <c r="AC210" s="355">
        <v>0</v>
      </c>
      <c r="AD210" s="358">
        <v>4634.1339473684211</v>
      </c>
      <c r="AE210" s="355">
        <v>0</v>
      </c>
      <c r="AF210" s="358">
        <v>1005.236842105263</v>
      </c>
      <c r="AG210" s="355">
        <v>0</v>
      </c>
      <c r="AH210" s="358">
        <v>3193.9866315789468</v>
      </c>
      <c r="AI210" s="355"/>
      <c r="AJ210" s="358">
        <v>8833.3574210526313</v>
      </c>
      <c r="AK210" s="356">
        <v>0</v>
      </c>
      <c r="AL210" s="358">
        <v>14455.529736842105</v>
      </c>
      <c r="AM210" s="356">
        <v>0</v>
      </c>
      <c r="AO210" s="358">
        <v>0</v>
      </c>
      <c r="AP210" s="355">
        <v>0</v>
      </c>
      <c r="AQ210" s="358">
        <v>0</v>
      </c>
      <c r="AR210" s="355">
        <v>0</v>
      </c>
      <c r="AS210" s="358">
        <v>0</v>
      </c>
      <c r="AT210" s="355"/>
      <c r="AU210" s="358">
        <v>0</v>
      </c>
      <c r="AV210" s="356"/>
    </row>
    <row r="211" spans="2:48" x14ac:dyDescent="0.25">
      <c r="B211" s="359" t="s">
        <v>567</v>
      </c>
      <c r="C211" t="s">
        <v>566</v>
      </c>
      <c r="D211" t="s">
        <v>1009</v>
      </c>
      <c r="E211" s="353">
        <v>6435</v>
      </c>
      <c r="F211" s="354">
        <v>1053</v>
      </c>
      <c r="G211" s="355">
        <v>0</v>
      </c>
      <c r="H211" s="356">
        <v>0</v>
      </c>
      <c r="I211" s="353">
        <v>3108</v>
      </c>
      <c r="J211" s="354">
        <v>1155</v>
      </c>
      <c r="K211" s="355">
        <v>0</v>
      </c>
      <c r="L211" s="356">
        <v>0</v>
      </c>
      <c r="M211" s="353">
        <v>4620</v>
      </c>
      <c r="N211" s="354">
        <v>726</v>
      </c>
      <c r="O211" s="355"/>
      <c r="P211" s="356"/>
      <c r="Q211" s="353">
        <v>14163</v>
      </c>
      <c r="R211" s="357">
        <v>2934</v>
      </c>
      <c r="S211" s="355">
        <v>0</v>
      </c>
      <c r="T211" s="356">
        <v>0</v>
      </c>
      <c r="V211" s="358">
        <v>1170</v>
      </c>
      <c r="W211" s="355">
        <v>0</v>
      </c>
      <c r="X211" s="358">
        <v>630</v>
      </c>
      <c r="Y211" s="355">
        <v>0</v>
      </c>
      <c r="Z211" s="358">
        <v>1155</v>
      </c>
      <c r="AA211" s="355"/>
      <c r="AB211" s="354">
        <v>2955</v>
      </c>
      <c r="AC211" s="355">
        <v>0</v>
      </c>
      <c r="AD211" s="358">
        <v>2145</v>
      </c>
      <c r="AE211" s="355">
        <v>0</v>
      </c>
      <c r="AF211" s="358">
        <v>945</v>
      </c>
      <c r="AG211" s="355">
        <v>0</v>
      </c>
      <c r="AH211" s="358">
        <v>1155</v>
      </c>
      <c r="AI211" s="355"/>
      <c r="AJ211" s="358">
        <v>4245</v>
      </c>
      <c r="AK211" s="356">
        <v>0</v>
      </c>
      <c r="AL211" s="358">
        <v>7200</v>
      </c>
      <c r="AM211" s="356">
        <v>0</v>
      </c>
      <c r="AO211" s="358">
        <v>420</v>
      </c>
      <c r="AP211" s="355">
        <v>0</v>
      </c>
      <c r="AQ211" s="358">
        <v>1650</v>
      </c>
      <c r="AR211" s="355">
        <v>0</v>
      </c>
      <c r="AS211" s="358">
        <v>1650</v>
      </c>
      <c r="AT211" s="355"/>
      <c r="AU211" s="358">
        <v>3720</v>
      </c>
      <c r="AV211" s="356"/>
    </row>
    <row r="212" spans="2:48" x14ac:dyDescent="0.25">
      <c r="B212" s="359" t="s">
        <v>569</v>
      </c>
      <c r="C212" t="s">
        <v>568</v>
      </c>
      <c r="D212" t="s">
        <v>1010</v>
      </c>
      <c r="E212" s="353">
        <v>9086.8084210526285</v>
      </c>
      <c r="F212" s="354">
        <v>7610.5147368421049</v>
      </c>
      <c r="G212" s="355">
        <v>0</v>
      </c>
      <c r="H212" s="356">
        <v>0</v>
      </c>
      <c r="I212" s="353">
        <v>6274.8552631578932</v>
      </c>
      <c r="J212" s="354">
        <v>5103.8399999999992</v>
      </c>
      <c r="K212" s="355">
        <v>0</v>
      </c>
      <c r="L212" s="356">
        <v>0</v>
      </c>
      <c r="M212" s="353">
        <v>7579.2767368421109</v>
      </c>
      <c r="N212" s="354">
        <v>6659.7809473684274</v>
      </c>
      <c r="O212" s="355"/>
      <c r="P212" s="356"/>
      <c r="Q212" s="353">
        <v>22940.940421052634</v>
      </c>
      <c r="R212" s="357">
        <v>19374.135684210531</v>
      </c>
      <c r="S212" s="355">
        <v>0</v>
      </c>
      <c r="T212" s="356">
        <v>0</v>
      </c>
      <c r="V212" s="358">
        <v>389.77421052631576</v>
      </c>
      <c r="W212" s="355">
        <v>0</v>
      </c>
      <c r="X212" s="358">
        <v>187.89473684210526</v>
      </c>
      <c r="Y212" s="355">
        <v>0</v>
      </c>
      <c r="Z212" s="358">
        <v>0</v>
      </c>
      <c r="AA212" s="355"/>
      <c r="AB212" s="354">
        <v>577.66894736842096</v>
      </c>
      <c r="AC212" s="355">
        <v>0</v>
      </c>
      <c r="AD212" s="358">
        <v>2065.1799999999998</v>
      </c>
      <c r="AE212" s="355">
        <v>0</v>
      </c>
      <c r="AF212" s="358">
        <v>1634.8721052631577</v>
      </c>
      <c r="AG212" s="355">
        <v>0</v>
      </c>
      <c r="AH212" s="358">
        <v>2134.5708421052632</v>
      </c>
      <c r="AI212" s="355"/>
      <c r="AJ212" s="358">
        <v>5834.6229473684207</v>
      </c>
      <c r="AK212" s="356">
        <v>0</v>
      </c>
      <c r="AL212" s="358">
        <v>6412.2918947368416</v>
      </c>
      <c r="AM212" s="356">
        <v>0</v>
      </c>
      <c r="AO212" s="358">
        <v>839.51368421052621</v>
      </c>
      <c r="AP212" s="355">
        <v>0</v>
      </c>
      <c r="AQ212" s="358">
        <v>0</v>
      </c>
      <c r="AR212" s="355">
        <v>0</v>
      </c>
      <c r="AS212" s="358">
        <v>0</v>
      </c>
      <c r="AT212" s="355"/>
      <c r="AU212" s="358">
        <v>839.51368421052621</v>
      </c>
      <c r="AV212" s="356"/>
    </row>
    <row r="213" spans="2:48" x14ac:dyDescent="0.25">
      <c r="B213" s="359" t="s">
        <v>570</v>
      </c>
      <c r="C213">
        <v>2568273</v>
      </c>
      <c r="D213" t="s">
        <v>1011</v>
      </c>
      <c r="E213" s="353">
        <v>3822</v>
      </c>
      <c r="F213" s="354">
        <v>1482</v>
      </c>
      <c r="G213" s="355">
        <v>0</v>
      </c>
      <c r="H213" s="356">
        <v>0</v>
      </c>
      <c r="I213" s="353">
        <v>1008</v>
      </c>
      <c r="J213" s="354">
        <v>420</v>
      </c>
      <c r="K213" s="355">
        <v>0</v>
      </c>
      <c r="L213" s="356">
        <v>0</v>
      </c>
      <c r="M213" s="353">
        <v>2409</v>
      </c>
      <c r="N213" s="354">
        <v>891</v>
      </c>
      <c r="O213" s="355"/>
      <c r="P213" s="356"/>
      <c r="Q213" s="353">
        <v>7239</v>
      </c>
      <c r="R213" s="357">
        <v>2793</v>
      </c>
      <c r="S213" s="355">
        <v>0</v>
      </c>
      <c r="T213" s="356">
        <v>0</v>
      </c>
      <c r="V213" s="358">
        <v>546</v>
      </c>
      <c r="W213" s="355">
        <v>0</v>
      </c>
      <c r="X213" s="358">
        <v>798</v>
      </c>
      <c r="Y213" s="355">
        <v>0</v>
      </c>
      <c r="Z213" s="358">
        <v>462</v>
      </c>
      <c r="AA213" s="355"/>
      <c r="AB213" s="354">
        <v>1806</v>
      </c>
      <c r="AC213" s="355">
        <v>0</v>
      </c>
      <c r="AD213" s="358">
        <v>975</v>
      </c>
      <c r="AE213" s="355">
        <v>0</v>
      </c>
      <c r="AF213" s="358">
        <v>630</v>
      </c>
      <c r="AG213" s="355">
        <v>0</v>
      </c>
      <c r="AH213" s="358">
        <v>660</v>
      </c>
      <c r="AI213" s="355"/>
      <c r="AJ213" s="358">
        <v>2265</v>
      </c>
      <c r="AK213" s="356">
        <v>0</v>
      </c>
      <c r="AL213" s="358">
        <v>4071</v>
      </c>
      <c r="AM213" s="356">
        <v>0</v>
      </c>
      <c r="AO213" s="358">
        <v>0</v>
      </c>
      <c r="AP213" s="355">
        <v>0</v>
      </c>
      <c r="AQ213" s="358">
        <v>0</v>
      </c>
      <c r="AR213" s="355">
        <v>0</v>
      </c>
      <c r="AS213" s="358">
        <v>0</v>
      </c>
      <c r="AT213" s="355"/>
      <c r="AU213" s="358">
        <v>0</v>
      </c>
      <c r="AV213" s="356"/>
    </row>
    <row r="214" spans="2:48" x14ac:dyDescent="0.25">
      <c r="B214" s="359" t="s">
        <v>571</v>
      </c>
      <c r="C214">
        <v>509204</v>
      </c>
      <c r="D214" t="s">
        <v>1012</v>
      </c>
      <c r="E214" s="353">
        <v>5061.6560526315779</v>
      </c>
      <c r="F214" s="354">
        <v>5302.0807894736836</v>
      </c>
      <c r="G214" s="355">
        <v>0</v>
      </c>
      <c r="H214" s="356">
        <v>0</v>
      </c>
      <c r="I214" s="353">
        <v>4007.7947368421042</v>
      </c>
      <c r="J214" s="354">
        <v>3691.567894736841</v>
      </c>
      <c r="K214" s="355">
        <v>0</v>
      </c>
      <c r="L214" s="356">
        <v>0</v>
      </c>
      <c r="M214" s="353">
        <v>3708.2099999999991</v>
      </c>
      <c r="N214" s="354">
        <v>4331.0676315789469</v>
      </c>
      <c r="O214" s="355"/>
      <c r="P214" s="356"/>
      <c r="Q214" s="353">
        <v>12777.660789473681</v>
      </c>
      <c r="R214" s="357">
        <v>13324.716315789472</v>
      </c>
      <c r="S214" s="355">
        <v>0</v>
      </c>
      <c r="T214" s="356">
        <v>0</v>
      </c>
      <c r="V214" s="358">
        <v>974.43552631578939</v>
      </c>
      <c r="W214" s="355">
        <v>0</v>
      </c>
      <c r="X214" s="358">
        <v>1362.4247368421052</v>
      </c>
      <c r="Y214" s="355">
        <v>0</v>
      </c>
      <c r="Z214" s="358">
        <v>824.52236842105253</v>
      </c>
      <c r="AA214" s="355"/>
      <c r="AB214" s="354">
        <v>3161.3826315789474</v>
      </c>
      <c r="AC214" s="355">
        <v>0</v>
      </c>
      <c r="AD214" s="358">
        <v>929.59578947368414</v>
      </c>
      <c r="AE214" s="355">
        <v>0</v>
      </c>
      <c r="AF214" s="358">
        <v>419.7568421052631</v>
      </c>
      <c r="AG214" s="355">
        <v>0</v>
      </c>
      <c r="AH214" s="358">
        <v>692.68736842105261</v>
      </c>
      <c r="AI214" s="355"/>
      <c r="AJ214" s="358">
        <v>2042.04</v>
      </c>
      <c r="AK214" s="356">
        <v>0</v>
      </c>
      <c r="AL214" s="358">
        <v>5203.4226315789474</v>
      </c>
      <c r="AM214" s="356">
        <v>0</v>
      </c>
      <c r="AO214" s="358">
        <v>0</v>
      </c>
      <c r="AP214" s="355">
        <v>0</v>
      </c>
      <c r="AQ214" s="358">
        <v>329.808947368421</v>
      </c>
      <c r="AR214" s="355">
        <v>0</v>
      </c>
      <c r="AS214" s="358">
        <v>329.808947368421</v>
      </c>
      <c r="AT214" s="355"/>
      <c r="AU214" s="358">
        <v>659.617894736842</v>
      </c>
      <c r="AV214" s="356"/>
    </row>
    <row r="215" spans="2:48" x14ac:dyDescent="0.25">
      <c r="B215" s="359" t="s">
        <v>573</v>
      </c>
      <c r="C215" t="s">
        <v>572</v>
      </c>
      <c r="D215" t="s">
        <v>1013</v>
      </c>
      <c r="E215" s="353">
        <v>0</v>
      </c>
      <c r="F215" s="354">
        <v>195</v>
      </c>
      <c r="G215" s="355">
        <v>0</v>
      </c>
      <c r="H215" s="356">
        <v>0</v>
      </c>
      <c r="I215" s="353">
        <v>0</v>
      </c>
      <c r="J215" s="354">
        <v>0</v>
      </c>
      <c r="K215" s="355">
        <v>0</v>
      </c>
      <c r="L215" s="356">
        <v>0</v>
      </c>
      <c r="M215" s="353">
        <v>0</v>
      </c>
      <c r="N215" s="354">
        <v>165</v>
      </c>
      <c r="O215" s="355"/>
      <c r="P215" s="356"/>
      <c r="Q215" s="353">
        <v>0</v>
      </c>
      <c r="R215" s="357">
        <v>360</v>
      </c>
      <c r="S215" s="355">
        <v>0</v>
      </c>
      <c r="T215" s="356">
        <v>0</v>
      </c>
      <c r="V215" s="358">
        <v>0</v>
      </c>
      <c r="W215" s="355">
        <v>0</v>
      </c>
      <c r="X215" s="358">
        <v>0</v>
      </c>
      <c r="Y215" s="355">
        <v>0</v>
      </c>
      <c r="Z215" s="358">
        <v>0</v>
      </c>
      <c r="AA215" s="355"/>
      <c r="AB215" s="354">
        <v>0</v>
      </c>
      <c r="AC215" s="355">
        <v>0</v>
      </c>
      <c r="AD215" s="358">
        <v>0</v>
      </c>
      <c r="AE215" s="355">
        <v>0</v>
      </c>
      <c r="AF215" s="358">
        <v>0</v>
      </c>
      <c r="AG215" s="355">
        <v>0</v>
      </c>
      <c r="AH215" s="358">
        <v>0</v>
      </c>
      <c r="AI215" s="355"/>
      <c r="AJ215" s="358">
        <v>0</v>
      </c>
      <c r="AK215" s="356">
        <v>0</v>
      </c>
      <c r="AL215" s="358">
        <v>0</v>
      </c>
      <c r="AM215" s="356">
        <v>0</v>
      </c>
      <c r="AO215" s="358">
        <v>0</v>
      </c>
      <c r="AP215" s="355">
        <v>0</v>
      </c>
      <c r="AQ215" s="358">
        <v>0</v>
      </c>
      <c r="AR215" s="355">
        <v>0</v>
      </c>
      <c r="AS215" s="358">
        <v>0</v>
      </c>
      <c r="AT215" s="355"/>
      <c r="AU215" s="358">
        <v>0</v>
      </c>
      <c r="AV215" s="356"/>
    </row>
    <row r="216" spans="2:48" ht="15" thickBot="1" x14ac:dyDescent="0.4">
      <c r="B216" s="342" t="s">
        <v>601</v>
      </c>
      <c r="C216" s="343"/>
      <c r="D216" s="343"/>
      <c r="E216" s="360">
        <v>882905.51802631584</v>
      </c>
      <c r="F216" s="361">
        <v>342026.95184210525</v>
      </c>
      <c r="G216" s="362">
        <v>0</v>
      </c>
      <c r="H216" s="363">
        <v>0</v>
      </c>
      <c r="I216" s="360">
        <v>614620.34863157896</v>
      </c>
      <c r="J216" s="361">
        <v>245647.2052631579</v>
      </c>
      <c r="K216" s="362">
        <v>0</v>
      </c>
      <c r="L216" s="363">
        <v>0</v>
      </c>
      <c r="M216" s="360">
        <v>650117.74068421056</v>
      </c>
      <c r="N216" s="361">
        <v>252490.42731578945</v>
      </c>
      <c r="O216" s="362">
        <v>0</v>
      </c>
      <c r="P216" s="363">
        <v>0</v>
      </c>
      <c r="Q216" s="360">
        <v>2147643.6073421054</v>
      </c>
      <c r="R216" s="364">
        <v>840164.5844210526</v>
      </c>
      <c r="S216" s="362">
        <v>0</v>
      </c>
      <c r="T216" s="363">
        <v>0</v>
      </c>
      <c r="U216" s="343"/>
      <c r="V216" s="365">
        <v>351127.12973684212</v>
      </c>
      <c r="W216" s="362">
        <v>0</v>
      </c>
      <c r="X216" s="365">
        <v>239696.19210526318</v>
      </c>
      <c r="Y216" s="362">
        <v>0</v>
      </c>
      <c r="Z216" s="365">
        <v>257912.75689473684</v>
      </c>
      <c r="AA216" s="362">
        <v>0</v>
      </c>
      <c r="AB216" s="361">
        <v>848736.07873684214</v>
      </c>
      <c r="AC216" s="362">
        <v>0</v>
      </c>
      <c r="AD216" s="365">
        <v>282925.53421052638</v>
      </c>
      <c r="AE216" s="362">
        <v>0</v>
      </c>
      <c r="AF216" s="365">
        <v>196666.92757894733</v>
      </c>
      <c r="AG216" s="362">
        <v>0</v>
      </c>
      <c r="AH216" s="365">
        <v>210210.95236842107</v>
      </c>
      <c r="AI216" s="362">
        <v>0</v>
      </c>
      <c r="AJ216" s="365">
        <v>689803.41415789479</v>
      </c>
      <c r="AK216" s="363">
        <v>0</v>
      </c>
      <c r="AL216" s="365">
        <v>1538539.492894737</v>
      </c>
      <c r="AM216" s="363">
        <v>0</v>
      </c>
      <c r="AN216" s="343"/>
      <c r="AO216" s="365">
        <v>106412.60736842106</v>
      </c>
      <c r="AP216" s="362">
        <v>0</v>
      </c>
      <c r="AQ216" s="365">
        <v>116317.29131578948</v>
      </c>
      <c r="AR216" s="362">
        <v>0</v>
      </c>
      <c r="AS216" s="365">
        <v>116317.29131578948</v>
      </c>
      <c r="AT216" s="362">
        <v>0</v>
      </c>
      <c r="AU216" s="365">
        <v>339047.19000000006</v>
      </c>
      <c r="AV216" s="363"/>
    </row>
    <row r="217" spans="2:48" ht="15.5" thickTop="1" thickBot="1" x14ac:dyDescent="0.4">
      <c r="B217" s="342" t="s">
        <v>1014</v>
      </c>
      <c r="C217" s="343"/>
      <c r="D217" s="343"/>
      <c r="E217" s="366">
        <v>4527.7206052631582</v>
      </c>
      <c r="F217" s="367">
        <v>1753.9843684210525</v>
      </c>
      <c r="G217" s="368">
        <v>0</v>
      </c>
      <c r="H217" s="369">
        <v>0</v>
      </c>
      <c r="I217" s="366">
        <v>2926.7635649122808</v>
      </c>
      <c r="J217" s="367">
        <v>1169.748596491228</v>
      </c>
      <c r="K217" s="368">
        <v>0</v>
      </c>
      <c r="L217" s="369">
        <v>0</v>
      </c>
      <c r="M217" s="366">
        <v>3940.1075192982457</v>
      </c>
      <c r="N217" s="367">
        <v>1530.2450140350877</v>
      </c>
      <c r="O217" s="368">
        <v>0</v>
      </c>
      <c r="P217" s="369">
        <v>0</v>
      </c>
      <c r="Q217" s="366">
        <v>3767.7958023545707</v>
      </c>
      <c r="R217" s="370">
        <v>1473.9729551246537</v>
      </c>
      <c r="S217" s="368">
        <v>0</v>
      </c>
      <c r="T217" s="369">
        <v>0</v>
      </c>
      <c r="U217" s="343">
        <v>0</v>
      </c>
      <c r="V217" s="371">
        <v>1950.7062763157894</v>
      </c>
      <c r="W217" s="368">
        <v>0</v>
      </c>
      <c r="X217" s="371">
        <v>1331.6455116959066</v>
      </c>
      <c r="Y217" s="368">
        <v>0</v>
      </c>
      <c r="Z217" s="371">
        <v>1432.8486494152048</v>
      </c>
      <c r="AA217" s="368">
        <v>0</v>
      </c>
      <c r="AB217" s="367">
        <v>4715.2004374269009</v>
      </c>
      <c r="AC217" s="368">
        <v>0</v>
      </c>
      <c r="AD217" s="371">
        <v>1571.8085233918132</v>
      </c>
      <c r="AE217" s="368">
        <v>0</v>
      </c>
      <c r="AF217" s="371">
        <v>1092.5940421052628</v>
      </c>
      <c r="AG217" s="368">
        <v>0</v>
      </c>
      <c r="AH217" s="371">
        <v>1167.838624269006</v>
      </c>
      <c r="AI217" s="368">
        <v>0</v>
      </c>
      <c r="AJ217" s="371">
        <v>3832.2411897660818</v>
      </c>
      <c r="AK217" s="369">
        <v>0</v>
      </c>
      <c r="AL217" s="371">
        <v>8547.441627192984</v>
      </c>
      <c r="AM217" s="369">
        <v>0</v>
      </c>
      <c r="AN217" s="343">
        <v>0</v>
      </c>
      <c r="AO217" s="371">
        <v>591.18115204678361</v>
      </c>
      <c r="AP217" s="362">
        <v>0</v>
      </c>
      <c r="AQ217" s="371">
        <v>646.20717397660826</v>
      </c>
      <c r="AR217" s="362">
        <v>0</v>
      </c>
      <c r="AS217" s="371">
        <v>646.20717397660826</v>
      </c>
      <c r="AT217" s="362">
        <v>0</v>
      </c>
      <c r="AU217" s="371">
        <v>1883.5955000000004</v>
      </c>
      <c r="AV217" s="363"/>
    </row>
    <row r="218" spans="2:48" ht="13" thickTop="1" x14ac:dyDescent="0.25"/>
    <row r="220" spans="2:48" ht="14.5" x14ac:dyDescent="0.35">
      <c r="C220" s="397" t="s">
        <v>1057</v>
      </c>
      <c r="D220" s="397"/>
      <c r="E220" s="398">
        <v>100000</v>
      </c>
      <c r="F220" s="398">
        <v>4.04</v>
      </c>
      <c r="G220" s="398"/>
      <c r="H220" s="398">
        <v>5.52</v>
      </c>
      <c r="I220" s="398">
        <v>0.6</v>
      </c>
      <c r="J220" s="398">
        <v>0.2</v>
      </c>
      <c r="K220" s="398">
        <v>0.2</v>
      </c>
    </row>
    <row r="221" spans="2:48" ht="13" thickBot="1" x14ac:dyDescent="0.3"/>
    <row r="222" spans="2:48" ht="15" thickBot="1" x14ac:dyDescent="0.4">
      <c r="B222" s="374" t="s">
        <v>1056</v>
      </c>
      <c r="C222" s="374" t="s">
        <v>1329</v>
      </c>
      <c r="E222" s="399">
        <v>100000</v>
      </c>
      <c r="F222" s="399">
        <v>4.12</v>
      </c>
      <c r="G222" s="400"/>
      <c r="H222" s="399">
        <v>5.79</v>
      </c>
      <c r="I222" s="399">
        <v>0.6</v>
      </c>
      <c r="J222" s="399">
        <v>0.2</v>
      </c>
      <c r="K222" s="399">
        <v>0.2</v>
      </c>
    </row>
    <row r="223" spans="2:48" ht="15" thickBot="1" x14ac:dyDescent="0.4">
      <c r="C223" s="374"/>
      <c r="F223" s="401">
        <f>F222-F220</f>
        <v>8.0000000000000071E-2</v>
      </c>
      <c r="G223" s="402">
        <f>F223/F220</f>
        <v>1.980198019801982E-2</v>
      </c>
      <c r="H223" s="401">
        <f>H222-H220</f>
        <v>0.27000000000000046</v>
      </c>
      <c r="I223" s="402">
        <f>H223/H220</f>
        <v>4.8913043478260955E-2</v>
      </c>
    </row>
    <row r="224" spans="2:48" ht="15" thickBot="1" x14ac:dyDescent="0.4">
      <c r="E224" s="810" t="s">
        <v>1058</v>
      </c>
      <c r="F224" s="811"/>
      <c r="G224" s="811"/>
      <c r="H224" s="811"/>
      <c r="I224" s="811"/>
      <c r="J224" s="811"/>
      <c r="K224" s="811"/>
      <c r="L224" s="812"/>
    </row>
    <row r="225" spans="1:12" ht="58" x14ac:dyDescent="0.35">
      <c r="B225" s="374"/>
      <c r="C225" s="374" t="s">
        <v>595</v>
      </c>
      <c r="D225" s="373" t="s">
        <v>780</v>
      </c>
      <c r="E225" s="403" t="s">
        <v>596</v>
      </c>
      <c r="F225" s="404" t="s">
        <v>597</v>
      </c>
      <c r="G225" s="405" t="s">
        <v>1059</v>
      </c>
      <c r="H225" s="404" t="s">
        <v>598</v>
      </c>
      <c r="I225" s="404" t="s">
        <v>599</v>
      </c>
      <c r="J225" s="404" t="s">
        <v>600</v>
      </c>
      <c r="K225" s="404" t="s">
        <v>174</v>
      </c>
      <c r="L225" s="406" t="s">
        <v>1060</v>
      </c>
    </row>
    <row r="226" spans="1:12" ht="14.5" x14ac:dyDescent="0.35">
      <c r="B226" s="374" t="s">
        <v>803</v>
      </c>
      <c r="C226" s="374"/>
      <c r="D226" s="374"/>
      <c r="E226" s="407"/>
      <c r="F226" s="408"/>
      <c r="G226" s="409"/>
      <c r="H226" s="408"/>
      <c r="I226" s="408"/>
      <c r="J226" s="408"/>
      <c r="K226" s="408">
        <f t="shared" ref="K226" si="1">SUM(K227:K233)</f>
        <v>0</v>
      </c>
      <c r="L226" s="410">
        <f>SUM(E226:K226)</f>
        <v>0</v>
      </c>
    </row>
    <row r="227" spans="1:12" x14ac:dyDescent="0.25">
      <c r="A227" s="477">
        <v>112479</v>
      </c>
      <c r="B227" t="s">
        <v>321</v>
      </c>
      <c r="C227">
        <v>1014</v>
      </c>
      <c r="D227" s="352" t="s">
        <v>804</v>
      </c>
      <c r="E227" s="411"/>
      <c r="F227" s="412"/>
      <c r="G227" s="413"/>
      <c r="H227" s="412"/>
      <c r="I227" s="412"/>
      <c r="J227" s="412"/>
      <c r="K227" s="412">
        <v>0</v>
      </c>
      <c r="L227" s="414">
        <f t="shared" ref="L227:L233" si="2">SUM(E227:K227)</f>
        <v>0</v>
      </c>
    </row>
    <row r="228" spans="1:12" x14ac:dyDescent="0.25">
      <c r="A228" s="477">
        <v>112472</v>
      </c>
      <c r="B228" t="s">
        <v>322</v>
      </c>
      <c r="C228">
        <v>1006</v>
      </c>
      <c r="D228" t="s">
        <v>805</v>
      </c>
      <c r="E228" s="411"/>
      <c r="F228" s="412"/>
      <c r="G228" s="413"/>
      <c r="H228" s="412"/>
      <c r="I228" s="412"/>
      <c r="J228" s="412"/>
      <c r="K228" s="412">
        <v>0</v>
      </c>
      <c r="L228" s="414">
        <f t="shared" si="2"/>
        <v>0</v>
      </c>
    </row>
    <row r="229" spans="1:12" x14ac:dyDescent="0.25">
      <c r="A229" s="477">
        <v>112474</v>
      </c>
      <c r="B229" t="s">
        <v>323</v>
      </c>
      <c r="C229">
        <v>1008</v>
      </c>
      <c r="D229" t="s">
        <v>806</v>
      </c>
      <c r="E229" s="411"/>
      <c r="F229" s="412"/>
      <c r="G229" s="413"/>
      <c r="H229" s="412"/>
      <c r="I229" s="412"/>
      <c r="J229" s="412"/>
      <c r="K229" s="412">
        <v>0</v>
      </c>
      <c r="L229" s="414">
        <f t="shared" si="2"/>
        <v>0</v>
      </c>
    </row>
    <row r="230" spans="1:12" x14ac:dyDescent="0.25">
      <c r="A230" s="477">
        <v>112471</v>
      </c>
      <c r="B230" t="s">
        <v>324</v>
      </c>
      <c r="C230">
        <v>1005</v>
      </c>
      <c r="D230" t="s">
        <v>807</v>
      </c>
      <c r="E230" s="411"/>
      <c r="F230" s="412"/>
      <c r="G230" s="413"/>
      <c r="H230" s="412"/>
      <c r="I230" s="412"/>
      <c r="J230" s="412"/>
      <c r="K230" s="412">
        <v>0</v>
      </c>
      <c r="L230" s="414">
        <f t="shared" si="2"/>
        <v>0</v>
      </c>
    </row>
    <row r="231" spans="1:12" x14ac:dyDescent="0.25">
      <c r="A231" s="477">
        <v>112476</v>
      </c>
      <c r="B231" t="s">
        <v>325</v>
      </c>
      <c r="C231">
        <v>1010</v>
      </c>
      <c r="D231" t="s">
        <v>808</v>
      </c>
      <c r="E231" s="411"/>
      <c r="F231" s="412"/>
      <c r="G231" s="413"/>
      <c r="H231" s="412"/>
      <c r="I231" s="412"/>
      <c r="J231" s="412"/>
      <c r="K231" s="412">
        <v>0</v>
      </c>
      <c r="L231" s="414">
        <f t="shared" si="2"/>
        <v>0</v>
      </c>
    </row>
    <row r="232" spans="1:12" x14ac:dyDescent="0.25">
      <c r="A232" s="477">
        <v>112475</v>
      </c>
      <c r="B232" t="s">
        <v>326</v>
      </c>
      <c r="C232">
        <v>1009</v>
      </c>
      <c r="D232" t="s">
        <v>809</v>
      </c>
      <c r="E232" s="411"/>
      <c r="F232" s="412"/>
      <c r="G232" s="413"/>
      <c r="H232" s="412"/>
      <c r="I232" s="412"/>
      <c r="J232" s="412"/>
      <c r="K232" s="412">
        <v>0</v>
      </c>
      <c r="L232" s="414">
        <f t="shared" si="2"/>
        <v>0</v>
      </c>
    </row>
    <row r="233" spans="1:12" x14ac:dyDescent="0.25">
      <c r="A233" s="477">
        <v>112480</v>
      </c>
      <c r="B233" t="s">
        <v>327</v>
      </c>
      <c r="C233">
        <v>1015</v>
      </c>
      <c r="D233" t="s">
        <v>810</v>
      </c>
      <c r="E233" s="411"/>
      <c r="F233" s="412"/>
      <c r="G233" s="413"/>
      <c r="H233" s="412"/>
      <c r="I233" s="412"/>
      <c r="J233" s="412"/>
      <c r="K233" s="412">
        <v>0</v>
      </c>
      <c r="L233" s="414">
        <f t="shared" si="2"/>
        <v>0</v>
      </c>
    </row>
  </sheetData>
  <autoFilter ref="A4:AX217" xr:uid="{3418FD0F-FE46-439F-AB9C-E4B7623ECD8F}"/>
  <mergeCells count="6">
    <mergeCell ref="AO3:AV3"/>
    <mergeCell ref="E224:L224"/>
    <mergeCell ref="V2:AM2"/>
    <mergeCell ref="E3:T3"/>
    <mergeCell ref="V3:AC3"/>
    <mergeCell ref="AD3:AK3"/>
  </mergeCells>
  <conditionalFormatting sqref="C1:C1048576">
    <cfRule type="duplicateValues" dxfId="16" priority="1"/>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B18CF-DD97-4437-9FCF-1F59EEE79AF2}">
  <sheetPr codeName="Sheet16">
    <tabColor rgb="FF7030A0"/>
  </sheetPr>
  <dimension ref="A1:N223"/>
  <sheetViews>
    <sheetView topLeftCell="A27" workbookViewId="0">
      <selection activeCell="B61" sqref="B61"/>
    </sheetView>
  </sheetViews>
  <sheetFormatPr defaultRowHeight="12.5" x14ac:dyDescent="0.25"/>
  <cols>
    <col min="1" max="1" width="44.81640625" customWidth="1"/>
    <col min="5" max="5" width="0" hidden="1" customWidth="1"/>
    <col min="7" max="7" width="0" hidden="1" customWidth="1"/>
    <col min="9" max="9" width="0" hidden="1" customWidth="1"/>
    <col min="11" max="11" width="0" hidden="1" customWidth="1"/>
  </cols>
  <sheetData>
    <row r="1" spans="1:14" ht="18.5" x14ac:dyDescent="0.45">
      <c r="A1" s="326" t="s">
        <v>777</v>
      </c>
    </row>
    <row r="2" spans="1:14" ht="13" thickBot="1" x14ac:dyDescent="0.3"/>
    <row r="3" spans="1:14" ht="15" thickBot="1" x14ac:dyDescent="0.4">
      <c r="D3" s="807" t="s">
        <v>779</v>
      </c>
      <c r="E3" s="808"/>
      <c r="F3" s="808"/>
      <c r="G3" s="808"/>
      <c r="H3" s="808"/>
      <c r="I3" s="808"/>
      <c r="J3" s="808"/>
      <c r="K3" s="809"/>
      <c r="L3" s="359"/>
    </row>
    <row r="4" spans="1:14" ht="102" thickBot="1" x14ac:dyDescent="0.4">
      <c r="A4" s="330" t="s">
        <v>1</v>
      </c>
      <c r="B4" s="331" t="s">
        <v>595</v>
      </c>
      <c r="C4" s="332" t="s">
        <v>780</v>
      </c>
      <c r="D4" s="336" t="s">
        <v>781</v>
      </c>
      <c r="E4" s="332" t="s">
        <v>783</v>
      </c>
      <c r="F4" s="336" t="s">
        <v>785</v>
      </c>
      <c r="G4" s="336" t="s">
        <v>787</v>
      </c>
      <c r="H4" s="336" t="s">
        <v>1015</v>
      </c>
      <c r="I4" s="336" t="s">
        <v>789</v>
      </c>
      <c r="J4" s="336" t="s">
        <v>791</v>
      </c>
      <c r="K4" s="339" t="s">
        <v>793</v>
      </c>
      <c r="L4" s="372"/>
      <c r="M4" s="373" t="s">
        <v>594</v>
      </c>
      <c r="N4" s="373" t="s">
        <v>752</v>
      </c>
    </row>
    <row r="5" spans="1:14" ht="15" thickBot="1" x14ac:dyDescent="0.4">
      <c r="A5" s="342" t="s">
        <v>803</v>
      </c>
      <c r="B5" s="343"/>
      <c r="C5" s="343"/>
      <c r="D5" s="349">
        <v>16692</v>
      </c>
      <c r="E5" s="346">
        <v>0</v>
      </c>
      <c r="F5" s="349">
        <v>18690</v>
      </c>
      <c r="G5" s="346">
        <v>0</v>
      </c>
      <c r="H5" s="349">
        <v>12078</v>
      </c>
      <c r="I5" s="349">
        <v>0</v>
      </c>
      <c r="J5" s="349">
        <v>47460</v>
      </c>
      <c r="K5" s="347">
        <f t="shared" ref="K5:K36" si="0">E5+G5+I5</f>
        <v>0</v>
      </c>
      <c r="L5" s="350"/>
      <c r="M5" s="374"/>
      <c r="N5" s="374"/>
    </row>
    <row r="6" spans="1:14" ht="13" thickTop="1" x14ac:dyDescent="0.25">
      <c r="A6" s="351" t="s">
        <v>321</v>
      </c>
      <c r="B6">
        <v>1014</v>
      </c>
      <c r="C6" s="352" t="s">
        <v>804</v>
      </c>
      <c r="D6" s="358">
        <v>3705</v>
      </c>
      <c r="E6" s="355">
        <v>0</v>
      </c>
      <c r="F6" s="358">
        <v>3234</v>
      </c>
      <c r="G6" s="355">
        <v>0</v>
      </c>
      <c r="H6" s="358">
        <v>1881</v>
      </c>
      <c r="I6" s="358"/>
      <c r="J6" s="358">
        <v>8820</v>
      </c>
      <c r="K6" s="356">
        <f t="shared" si="0"/>
        <v>0</v>
      </c>
      <c r="M6" t="s">
        <v>604</v>
      </c>
      <c r="N6" t="s">
        <v>804</v>
      </c>
    </row>
    <row r="7" spans="1:14" x14ac:dyDescent="0.25">
      <c r="A7" s="359" t="s">
        <v>322</v>
      </c>
      <c r="B7">
        <v>1006</v>
      </c>
      <c r="C7" t="s">
        <v>805</v>
      </c>
      <c r="D7" s="358">
        <v>2730</v>
      </c>
      <c r="E7" s="355">
        <v>0</v>
      </c>
      <c r="F7" s="358">
        <v>2940</v>
      </c>
      <c r="G7" s="355">
        <v>0</v>
      </c>
      <c r="H7" s="358">
        <v>2838</v>
      </c>
      <c r="I7" s="358"/>
      <c r="J7" s="358">
        <v>8508</v>
      </c>
      <c r="K7" s="356">
        <f t="shared" si="0"/>
        <v>0</v>
      </c>
      <c r="M7" t="s">
        <v>609</v>
      </c>
      <c r="N7" t="s">
        <v>805</v>
      </c>
    </row>
    <row r="8" spans="1:14" x14ac:dyDescent="0.25">
      <c r="A8" s="359" t="s">
        <v>323</v>
      </c>
      <c r="B8">
        <v>1008</v>
      </c>
      <c r="C8" t="s">
        <v>806</v>
      </c>
      <c r="D8" s="358">
        <v>195</v>
      </c>
      <c r="E8" s="355">
        <v>0</v>
      </c>
      <c r="F8" s="358">
        <v>2940</v>
      </c>
      <c r="G8" s="355">
        <v>0</v>
      </c>
      <c r="H8" s="358">
        <v>0</v>
      </c>
      <c r="I8" s="358"/>
      <c r="J8" s="358">
        <v>3135</v>
      </c>
      <c r="K8" s="356">
        <f t="shared" si="0"/>
        <v>0</v>
      </c>
      <c r="M8" t="s">
        <v>610</v>
      </c>
      <c r="N8" t="s">
        <v>806</v>
      </c>
    </row>
    <row r="9" spans="1:14" x14ac:dyDescent="0.25">
      <c r="A9" s="359" t="s">
        <v>324</v>
      </c>
      <c r="B9">
        <v>1005</v>
      </c>
      <c r="C9" t="s">
        <v>807</v>
      </c>
      <c r="D9" s="358">
        <v>3705</v>
      </c>
      <c r="E9" s="355">
        <v>0</v>
      </c>
      <c r="F9" s="358">
        <v>2730</v>
      </c>
      <c r="G9" s="355">
        <v>0</v>
      </c>
      <c r="H9" s="358">
        <v>2640</v>
      </c>
      <c r="I9" s="358"/>
      <c r="J9" s="358">
        <v>9075</v>
      </c>
      <c r="K9" s="356">
        <f t="shared" si="0"/>
        <v>0</v>
      </c>
      <c r="M9" t="s">
        <v>611</v>
      </c>
      <c r="N9" t="s">
        <v>807</v>
      </c>
    </row>
    <row r="10" spans="1:14" x14ac:dyDescent="0.25">
      <c r="A10" s="359" t="s">
        <v>325</v>
      </c>
      <c r="B10">
        <v>1010</v>
      </c>
      <c r="C10" t="s">
        <v>808</v>
      </c>
      <c r="D10" s="358">
        <v>3315</v>
      </c>
      <c r="E10" s="355">
        <v>0</v>
      </c>
      <c r="F10" s="358">
        <v>3780</v>
      </c>
      <c r="G10" s="355">
        <v>0</v>
      </c>
      <c r="H10" s="358">
        <v>2310</v>
      </c>
      <c r="I10" s="358"/>
      <c r="J10" s="358">
        <v>9405</v>
      </c>
      <c r="K10" s="356">
        <f t="shared" si="0"/>
        <v>0</v>
      </c>
      <c r="M10" t="s">
        <v>623</v>
      </c>
      <c r="N10" t="s">
        <v>808</v>
      </c>
    </row>
    <row r="11" spans="1:14" x14ac:dyDescent="0.25">
      <c r="A11" s="359" t="s">
        <v>326</v>
      </c>
      <c r="B11">
        <v>1009</v>
      </c>
      <c r="C11" t="s">
        <v>809</v>
      </c>
      <c r="D11" s="358">
        <v>1755</v>
      </c>
      <c r="E11" s="355">
        <v>0</v>
      </c>
      <c r="F11" s="358">
        <v>2520</v>
      </c>
      <c r="G11" s="355">
        <v>0</v>
      </c>
      <c r="H11" s="358">
        <v>1650</v>
      </c>
      <c r="I11" s="358"/>
      <c r="J11" s="358">
        <v>5925</v>
      </c>
      <c r="K11" s="356">
        <f t="shared" si="0"/>
        <v>0</v>
      </c>
      <c r="M11" t="s">
        <v>624</v>
      </c>
      <c r="N11" t="s">
        <v>809</v>
      </c>
    </row>
    <row r="12" spans="1:14" x14ac:dyDescent="0.25">
      <c r="A12" s="359" t="s">
        <v>327</v>
      </c>
      <c r="B12">
        <v>1015</v>
      </c>
      <c r="C12" t="s">
        <v>810</v>
      </c>
      <c r="D12" s="358">
        <v>1287</v>
      </c>
      <c r="E12" s="355">
        <v>0</v>
      </c>
      <c r="F12" s="358">
        <v>546</v>
      </c>
      <c r="G12" s="355">
        <v>0</v>
      </c>
      <c r="H12" s="358">
        <v>759</v>
      </c>
      <c r="I12" s="358"/>
      <c r="J12" s="358">
        <v>2592</v>
      </c>
      <c r="K12" s="356">
        <f t="shared" si="0"/>
        <v>0</v>
      </c>
      <c r="M12" t="s">
        <v>625</v>
      </c>
      <c r="N12" t="s">
        <v>810</v>
      </c>
    </row>
    <row r="13" spans="1:14" ht="15" thickBot="1" x14ac:dyDescent="0.4">
      <c r="A13" s="342" t="s">
        <v>593</v>
      </c>
      <c r="B13" s="343"/>
      <c r="C13" s="343"/>
      <c r="D13" s="365">
        <v>3510</v>
      </c>
      <c r="E13" s="362">
        <v>0</v>
      </c>
      <c r="F13" s="365">
        <v>7098</v>
      </c>
      <c r="G13" s="362">
        <v>0</v>
      </c>
      <c r="H13" s="365">
        <v>2475</v>
      </c>
      <c r="I13" s="365">
        <v>0</v>
      </c>
      <c r="J13" s="365">
        <v>13083</v>
      </c>
      <c r="K13" s="363">
        <f t="shared" si="0"/>
        <v>0</v>
      </c>
      <c r="L13" s="343"/>
      <c r="M13" s="374"/>
      <c r="N13">
        <v>0</v>
      </c>
    </row>
    <row r="14" spans="1:14" ht="13" thickTop="1" x14ac:dyDescent="0.25">
      <c r="A14" s="359" t="s">
        <v>70</v>
      </c>
      <c r="B14">
        <v>2443</v>
      </c>
      <c r="C14" t="s">
        <v>811</v>
      </c>
      <c r="D14" s="358">
        <v>0</v>
      </c>
      <c r="E14" s="355">
        <v>0</v>
      </c>
      <c r="F14" s="358">
        <v>1848</v>
      </c>
      <c r="G14" s="355">
        <v>0</v>
      </c>
      <c r="H14" s="358">
        <v>0</v>
      </c>
      <c r="I14" s="358"/>
      <c r="J14" s="358">
        <v>1848</v>
      </c>
      <c r="K14" s="356">
        <f t="shared" si="0"/>
        <v>0</v>
      </c>
      <c r="M14" t="s">
        <v>602</v>
      </c>
      <c r="N14" t="s">
        <v>811</v>
      </c>
    </row>
    <row r="15" spans="1:14" x14ac:dyDescent="0.25">
      <c r="A15" s="359" t="s">
        <v>64</v>
      </c>
      <c r="B15">
        <v>2405</v>
      </c>
      <c r="C15" t="s">
        <v>812</v>
      </c>
      <c r="D15" s="358">
        <v>0</v>
      </c>
      <c r="E15" s="355">
        <v>0</v>
      </c>
      <c r="F15" s="358">
        <v>0</v>
      </c>
      <c r="G15" s="355">
        <v>0</v>
      </c>
      <c r="H15" s="358">
        <v>0</v>
      </c>
      <c r="I15" s="358"/>
      <c r="J15" s="358">
        <v>0</v>
      </c>
      <c r="K15" s="356">
        <f t="shared" si="0"/>
        <v>0</v>
      </c>
      <c r="M15" t="s">
        <v>605</v>
      </c>
      <c r="N15" t="s">
        <v>812</v>
      </c>
    </row>
    <row r="16" spans="1:14" x14ac:dyDescent="0.25">
      <c r="A16" s="359" t="s">
        <v>606</v>
      </c>
      <c r="B16">
        <v>4177</v>
      </c>
      <c r="C16" t="s">
        <v>813</v>
      </c>
      <c r="D16" s="358">
        <v>0</v>
      </c>
      <c r="E16" s="355">
        <v>0</v>
      </c>
      <c r="F16" s="358">
        <v>0</v>
      </c>
      <c r="G16" s="355">
        <v>0</v>
      </c>
      <c r="H16" s="358">
        <v>0</v>
      </c>
      <c r="I16" s="358"/>
      <c r="J16" s="358">
        <v>0</v>
      </c>
      <c r="K16" s="356">
        <f t="shared" si="0"/>
        <v>0</v>
      </c>
      <c r="M16" t="s">
        <v>607</v>
      </c>
      <c r="N16" t="s">
        <v>813</v>
      </c>
    </row>
    <row r="17" spans="1:14" x14ac:dyDescent="0.25">
      <c r="A17" s="359" t="s">
        <v>72</v>
      </c>
      <c r="B17">
        <v>2449</v>
      </c>
      <c r="C17" t="s">
        <v>814</v>
      </c>
      <c r="D17" s="358">
        <v>0</v>
      </c>
      <c r="E17" s="355">
        <v>0</v>
      </c>
      <c r="F17" s="358">
        <v>0</v>
      </c>
      <c r="G17" s="355">
        <v>0</v>
      </c>
      <c r="H17" s="358">
        <v>0</v>
      </c>
      <c r="I17" s="358"/>
      <c r="J17" s="358">
        <v>0</v>
      </c>
      <c r="K17" s="356">
        <f t="shared" si="0"/>
        <v>0</v>
      </c>
      <c r="M17" t="s">
        <v>608</v>
      </c>
      <c r="N17" t="s">
        <v>814</v>
      </c>
    </row>
    <row r="18" spans="1:14" x14ac:dyDescent="0.25">
      <c r="A18" s="359" t="s">
        <v>73</v>
      </c>
      <c r="B18">
        <v>2452</v>
      </c>
      <c r="C18" t="s">
        <v>815</v>
      </c>
      <c r="D18" s="358">
        <v>195</v>
      </c>
      <c r="E18" s="355">
        <v>0</v>
      </c>
      <c r="F18" s="358">
        <v>1050</v>
      </c>
      <c r="G18" s="355">
        <v>0</v>
      </c>
      <c r="H18" s="358">
        <v>0</v>
      </c>
      <c r="I18" s="358"/>
      <c r="J18" s="358">
        <v>1245</v>
      </c>
      <c r="K18" s="356">
        <f t="shared" si="0"/>
        <v>0</v>
      </c>
      <c r="M18" t="s">
        <v>612</v>
      </c>
      <c r="N18" t="s">
        <v>815</v>
      </c>
    </row>
    <row r="19" spans="1:14" x14ac:dyDescent="0.25">
      <c r="A19" s="359" t="s">
        <v>613</v>
      </c>
      <c r="B19">
        <v>2473</v>
      </c>
      <c r="C19" t="s">
        <v>816</v>
      </c>
      <c r="D19" s="358">
        <v>0</v>
      </c>
      <c r="E19" s="355">
        <v>0</v>
      </c>
      <c r="F19" s="358">
        <v>0</v>
      </c>
      <c r="G19" s="355">
        <v>0</v>
      </c>
      <c r="H19" s="358">
        <v>0</v>
      </c>
      <c r="I19" s="358"/>
      <c r="J19" s="358">
        <v>0</v>
      </c>
      <c r="K19" s="356">
        <f t="shared" si="0"/>
        <v>0</v>
      </c>
      <c r="M19" t="s">
        <v>614</v>
      </c>
      <c r="N19" t="s">
        <v>816</v>
      </c>
    </row>
    <row r="20" spans="1:14" x14ac:dyDescent="0.25">
      <c r="A20" s="359" t="s">
        <v>62</v>
      </c>
      <c r="B20">
        <v>2003</v>
      </c>
      <c r="C20" t="s">
        <v>817</v>
      </c>
      <c r="D20" s="358">
        <v>0</v>
      </c>
      <c r="E20" s="355">
        <v>0</v>
      </c>
      <c r="F20" s="358">
        <v>0</v>
      </c>
      <c r="G20" s="355">
        <v>0</v>
      </c>
      <c r="H20" s="358">
        <v>0</v>
      </c>
      <c r="I20" s="358"/>
      <c r="J20" s="358">
        <v>0</v>
      </c>
      <c r="K20" s="356">
        <f t="shared" si="0"/>
        <v>0</v>
      </c>
      <c r="M20" t="s">
        <v>615</v>
      </c>
      <c r="N20" t="s">
        <v>817</v>
      </c>
    </row>
    <row r="21" spans="1:14" x14ac:dyDescent="0.25">
      <c r="A21" s="359" t="s">
        <v>77</v>
      </c>
      <c r="B21">
        <v>2462</v>
      </c>
      <c r="C21" t="s">
        <v>818</v>
      </c>
      <c r="D21" s="358">
        <v>0</v>
      </c>
      <c r="E21" s="355">
        <v>0</v>
      </c>
      <c r="F21" s="358">
        <v>0</v>
      </c>
      <c r="G21" s="355">
        <v>0</v>
      </c>
      <c r="H21" s="358">
        <v>0</v>
      </c>
      <c r="I21" s="358"/>
      <c r="J21" s="358">
        <v>0</v>
      </c>
      <c r="K21" s="356">
        <f t="shared" si="0"/>
        <v>0</v>
      </c>
      <c r="M21" t="s">
        <v>616</v>
      </c>
      <c r="N21" t="s">
        <v>818</v>
      </c>
    </row>
    <row r="22" spans="1:14" x14ac:dyDescent="0.25">
      <c r="A22" s="359" t="s">
        <v>80</v>
      </c>
      <c r="B22">
        <v>2505</v>
      </c>
      <c r="C22" t="s">
        <v>819</v>
      </c>
      <c r="D22" s="358">
        <v>0</v>
      </c>
      <c r="E22" s="355">
        <v>0</v>
      </c>
      <c r="F22" s="358">
        <v>0</v>
      </c>
      <c r="G22" s="355">
        <v>0</v>
      </c>
      <c r="H22" s="358">
        <v>0</v>
      </c>
      <c r="I22" s="358"/>
      <c r="J22" s="358">
        <v>0</v>
      </c>
      <c r="K22" s="356">
        <f t="shared" si="0"/>
        <v>0</v>
      </c>
      <c r="M22" t="s">
        <v>617</v>
      </c>
      <c r="N22" t="s">
        <v>819</v>
      </c>
    </row>
    <row r="23" spans="1:14" x14ac:dyDescent="0.25">
      <c r="A23" s="359" t="s">
        <v>61</v>
      </c>
      <c r="B23">
        <v>2001</v>
      </c>
      <c r="C23" t="s">
        <v>820</v>
      </c>
      <c r="D23" s="358">
        <v>0</v>
      </c>
      <c r="E23" s="355">
        <v>0</v>
      </c>
      <c r="F23" s="358">
        <v>0</v>
      </c>
      <c r="G23" s="355">
        <v>0</v>
      </c>
      <c r="H23" s="358">
        <v>0</v>
      </c>
      <c r="I23" s="358"/>
      <c r="J23" s="358">
        <v>0</v>
      </c>
      <c r="K23" s="356">
        <f t="shared" si="0"/>
        <v>0</v>
      </c>
      <c r="M23" t="s">
        <v>618</v>
      </c>
      <c r="N23" t="s">
        <v>820</v>
      </c>
    </row>
    <row r="24" spans="1:14" x14ac:dyDescent="0.25">
      <c r="A24" s="359" t="s">
        <v>67</v>
      </c>
      <c r="B24">
        <v>2429</v>
      </c>
      <c r="C24" t="s">
        <v>821</v>
      </c>
      <c r="D24" s="358">
        <v>1950</v>
      </c>
      <c r="E24" s="355">
        <v>0</v>
      </c>
      <c r="F24" s="358">
        <v>1890</v>
      </c>
      <c r="G24" s="355">
        <v>0</v>
      </c>
      <c r="H24" s="358">
        <v>1650</v>
      </c>
      <c r="I24" s="358"/>
      <c r="J24" s="358">
        <v>5490</v>
      </c>
      <c r="K24" s="356">
        <f t="shared" si="0"/>
        <v>0</v>
      </c>
      <c r="M24" t="s">
        <v>619</v>
      </c>
      <c r="N24" t="s">
        <v>821</v>
      </c>
    </row>
    <row r="25" spans="1:14" x14ac:dyDescent="0.25">
      <c r="A25" s="359" t="s">
        <v>71</v>
      </c>
      <c r="B25">
        <v>2444</v>
      </c>
      <c r="C25" t="s">
        <v>822</v>
      </c>
      <c r="D25" s="358">
        <v>0</v>
      </c>
      <c r="E25" s="355">
        <v>0</v>
      </c>
      <c r="F25" s="358">
        <v>0</v>
      </c>
      <c r="G25" s="355">
        <v>0</v>
      </c>
      <c r="H25" s="358">
        <v>0</v>
      </c>
      <c r="I25" s="358"/>
      <c r="J25" s="358">
        <v>0</v>
      </c>
      <c r="K25" s="356">
        <f t="shared" si="0"/>
        <v>0</v>
      </c>
      <c r="M25" t="s">
        <v>620</v>
      </c>
      <c r="N25" t="s">
        <v>822</v>
      </c>
    </row>
    <row r="26" spans="1:14" x14ac:dyDescent="0.25">
      <c r="A26" s="359" t="s">
        <v>621</v>
      </c>
      <c r="B26">
        <v>3526</v>
      </c>
      <c r="C26" t="s">
        <v>823</v>
      </c>
      <c r="D26" s="358">
        <v>1365</v>
      </c>
      <c r="E26" s="355">
        <v>0</v>
      </c>
      <c r="F26" s="358">
        <v>2310</v>
      </c>
      <c r="G26" s="355">
        <v>0</v>
      </c>
      <c r="H26" s="358">
        <v>825</v>
      </c>
      <c r="I26" s="358"/>
      <c r="J26" s="358">
        <v>4500</v>
      </c>
      <c r="K26" s="356">
        <f t="shared" si="0"/>
        <v>0</v>
      </c>
      <c r="M26" t="s">
        <v>622</v>
      </c>
      <c r="N26" t="s">
        <v>823</v>
      </c>
    </row>
    <row r="27" spans="1:14" ht="15" thickBot="1" x14ac:dyDescent="0.4">
      <c r="A27" s="342" t="s">
        <v>261</v>
      </c>
      <c r="B27" s="343"/>
      <c r="C27" s="343"/>
      <c r="D27" s="365">
        <v>11895</v>
      </c>
      <c r="E27" s="362">
        <v>0</v>
      </c>
      <c r="F27" s="365">
        <v>15330</v>
      </c>
      <c r="G27" s="362">
        <v>0</v>
      </c>
      <c r="H27" s="365">
        <v>10230</v>
      </c>
      <c r="I27" s="365">
        <v>0</v>
      </c>
      <c r="J27" s="365">
        <v>37455</v>
      </c>
      <c r="K27" s="363">
        <f t="shared" si="0"/>
        <v>0</v>
      </c>
      <c r="L27" s="343"/>
      <c r="M27" s="374"/>
      <c r="N27">
        <v>0</v>
      </c>
    </row>
    <row r="28" spans="1:14" ht="13" thickTop="1" x14ac:dyDescent="0.25">
      <c r="A28" s="359" t="s">
        <v>97</v>
      </c>
      <c r="B28" t="s">
        <v>1330</v>
      </c>
      <c r="C28" t="s">
        <v>1330</v>
      </c>
      <c r="D28" s="358">
        <v>0</v>
      </c>
      <c r="E28" s="355">
        <v>0</v>
      </c>
      <c r="F28" s="358">
        <v>210</v>
      </c>
      <c r="G28" s="355">
        <v>0</v>
      </c>
      <c r="H28" s="358">
        <v>0</v>
      </c>
      <c r="I28" s="358"/>
      <c r="J28" s="358">
        <v>210</v>
      </c>
      <c r="K28" s="356">
        <f t="shared" si="0"/>
        <v>0</v>
      </c>
      <c r="N28" t="s">
        <v>824</v>
      </c>
    </row>
    <row r="29" spans="1:14" x14ac:dyDescent="0.25">
      <c r="A29" s="359" t="s">
        <v>123</v>
      </c>
      <c r="B29">
        <v>2629</v>
      </c>
      <c r="C29" t="s">
        <v>824</v>
      </c>
      <c r="D29" s="358">
        <v>5265</v>
      </c>
      <c r="E29" s="355">
        <v>0</v>
      </c>
      <c r="F29" s="358">
        <v>4200</v>
      </c>
      <c r="G29" s="355">
        <v>0</v>
      </c>
      <c r="H29" s="358">
        <v>4290</v>
      </c>
      <c r="I29" s="358"/>
      <c r="J29" s="358">
        <v>13755</v>
      </c>
      <c r="K29" s="356">
        <f t="shared" si="0"/>
        <v>0</v>
      </c>
      <c r="N29" t="s">
        <v>825</v>
      </c>
    </row>
    <row r="30" spans="1:14" x14ac:dyDescent="0.25">
      <c r="A30" s="359" t="s">
        <v>627</v>
      </c>
      <c r="B30">
        <v>2509</v>
      </c>
      <c r="C30" t="s">
        <v>825</v>
      </c>
      <c r="D30" s="358">
        <v>390</v>
      </c>
      <c r="E30" s="355">
        <v>0</v>
      </c>
      <c r="F30" s="358">
        <v>1680</v>
      </c>
      <c r="G30" s="355">
        <v>0</v>
      </c>
      <c r="H30" s="358">
        <v>330</v>
      </c>
      <c r="I30" s="358"/>
      <c r="J30" s="358">
        <v>2400</v>
      </c>
      <c r="K30" s="356">
        <f t="shared" si="0"/>
        <v>0</v>
      </c>
      <c r="N30" t="s">
        <v>826</v>
      </c>
    </row>
    <row r="31" spans="1:14" x14ac:dyDescent="0.25">
      <c r="A31" s="359" t="s">
        <v>628</v>
      </c>
      <c r="B31">
        <v>2021</v>
      </c>
      <c r="C31" t="s">
        <v>826</v>
      </c>
      <c r="D31" s="358">
        <v>0</v>
      </c>
      <c r="E31" s="355">
        <v>0</v>
      </c>
      <c r="F31" s="358">
        <v>0</v>
      </c>
      <c r="G31" s="355">
        <v>0</v>
      </c>
      <c r="H31" s="358">
        <v>0</v>
      </c>
      <c r="I31" s="358"/>
      <c r="J31" s="358">
        <v>0</v>
      </c>
      <c r="K31" s="356">
        <f t="shared" si="0"/>
        <v>0</v>
      </c>
      <c r="N31" t="s">
        <v>827</v>
      </c>
    </row>
    <row r="32" spans="1:14" x14ac:dyDescent="0.25">
      <c r="A32" s="359" t="s">
        <v>116</v>
      </c>
      <c r="B32">
        <v>2464</v>
      </c>
      <c r="C32" t="s">
        <v>827</v>
      </c>
      <c r="D32" s="358">
        <v>0</v>
      </c>
      <c r="E32" s="355">
        <v>0</v>
      </c>
      <c r="F32" s="358">
        <v>0</v>
      </c>
      <c r="G32" s="355">
        <v>0</v>
      </c>
      <c r="H32" s="358">
        <v>0</v>
      </c>
      <c r="I32" s="358"/>
      <c r="J32" s="358">
        <v>0</v>
      </c>
      <c r="K32" s="356">
        <f t="shared" si="0"/>
        <v>0</v>
      </c>
      <c r="N32" t="s">
        <v>828</v>
      </c>
    </row>
    <row r="33" spans="1:14" x14ac:dyDescent="0.25">
      <c r="A33" s="359" t="s">
        <v>88</v>
      </c>
      <c r="B33">
        <v>2004</v>
      </c>
      <c r="C33" t="s">
        <v>828</v>
      </c>
      <c r="D33" s="358">
        <v>0</v>
      </c>
      <c r="E33" s="355">
        <v>0</v>
      </c>
      <c r="F33" s="358">
        <v>0</v>
      </c>
      <c r="G33" s="355">
        <v>0</v>
      </c>
      <c r="H33" s="358">
        <v>0</v>
      </c>
      <c r="I33" s="358"/>
      <c r="J33" s="358">
        <v>0</v>
      </c>
      <c r="K33" s="356">
        <f t="shared" si="0"/>
        <v>0</v>
      </c>
      <c r="N33" t="s">
        <v>829</v>
      </c>
    </row>
    <row r="34" spans="1:14" x14ac:dyDescent="0.25">
      <c r="A34" s="359" t="s">
        <v>629</v>
      </c>
      <c r="B34">
        <v>2432</v>
      </c>
      <c r="C34" t="s">
        <v>829</v>
      </c>
      <c r="D34" s="358">
        <v>0</v>
      </c>
      <c r="E34" s="355">
        <v>0</v>
      </c>
      <c r="F34" s="358">
        <v>0</v>
      </c>
      <c r="G34" s="355">
        <v>0</v>
      </c>
      <c r="H34" s="358">
        <v>0</v>
      </c>
      <c r="I34" s="358"/>
      <c r="J34" s="358">
        <v>0</v>
      </c>
      <c r="K34" s="356">
        <f t="shared" si="0"/>
        <v>0</v>
      </c>
      <c r="N34" t="s">
        <v>830</v>
      </c>
    </row>
    <row r="35" spans="1:14" x14ac:dyDescent="0.25">
      <c r="A35" s="359" t="s">
        <v>100</v>
      </c>
      <c r="B35">
        <v>2018</v>
      </c>
      <c r="C35" t="s">
        <v>830</v>
      </c>
      <c r="D35" s="358">
        <v>1755</v>
      </c>
      <c r="E35" s="355">
        <v>0</v>
      </c>
      <c r="F35" s="358">
        <v>2520</v>
      </c>
      <c r="G35" s="355">
        <v>0</v>
      </c>
      <c r="H35" s="358">
        <v>1485</v>
      </c>
      <c r="I35" s="358"/>
      <c r="J35" s="358">
        <v>5760</v>
      </c>
      <c r="K35" s="356">
        <f t="shared" si="0"/>
        <v>0</v>
      </c>
      <c r="N35" t="s">
        <v>831</v>
      </c>
    </row>
    <row r="36" spans="1:14" x14ac:dyDescent="0.25">
      <c r="A36" s="359" t="s">
        <v>121</v>
      </c>
      <c r="B36">
        <v>2512</v>
      </c>
      <c r="C36" t="s">
        <v>831</v>
      </c>
      <c r="D36" s="358">
        <v>0</v>
      </c>
      <c r="E36" s="355">
        <v>0</v>
      </c>
      <c r="F36" s="358">
        <v>0</v>
      </c>
      <c r="G36" s="355">
        <v>0</v>
      </c>
      <c r="H36" s="358">
        <v>0</v>
      </c>
      <c r="I36" s="358"/>
      <c r="J36" s="358">
        <v>0</v>
      </c>
      <c r="K36" s="356">
        <f t="shared" si="0"/>
        <v>0</v>
      </c>
      <c r="N36" t="s">
        <v>832</v>
      </c>
    </row>
    <row r="37" spans="1:14" x14ac:dyDescent="0.25">
      <c r="A37" s="359" t="s">
        <v>630</v>
      </c>
      <c r="B37">
        <v>2011</v>
      </c>
      <c r="C37" t="s">
        <v>832</v>
      </c>
      <c r="D37" s="358">
        <v>0</v>
      </c>
      <c r="E37" s="355">
        <v>0</v>
      </c>
      <c r="F37" s="358">
        <v>0</v>
      </c>
      <c r="G37" s="355">
        <v>0</v>
      </c>
      <c r="H37" s="358">
        <v>0</v>
      </c>
      <c r="I37" s="358"/>
      <c r="J37" s="358">
        <v>0</v>
      </c>
      <c r="K37" s="356">
        <f t="shared" ref="K37:K68" si="1">E37+G37+I37</f>
        <v>0</v>
      </c>
      <c r="N37" t="s">
        <v>833</v>
      </c>
    </row>
    <row r="38" spans="1:14" x14ac:dyDescent="0.25">
      <c r="A38" s="359" t="s">
        <v>135</v>
      </c>
      <c r="B38">
        <v>5201</v>
      </c>
      <c r="C38" t="s">
        <v>833</v>
      </c>
      <c r="D38" s="358">
        <v>0</v>
      </c>
      <c r="E38" s="355">
        <v>0</v>
      </c>
      <c r="F38" s="358">
        <v>0</v>
      </c>
      <c r="G38" s="355">
        <v>0</v>
      </c>
      <c r="H38" s="358">
        <v>0</v>
      </c>
      <c r="I38" s="358"/>
      <c r="J38" s="358">
        <v>0</v>
      </c>
      <c r="K38" s="356">
        <f t="shared" si="1"/>
        <v>0</v>
      </c>
      <c r="N38" t="s">
        <v>834</v>
      </c>
    </row>
    <row r="39" spans="1:14" x14ac:dyDescent="0.25">
      <c r="A39" s="359" t="s">
        <v>631</v>
      </c>
      <c r="B39">
        <v>2456</v>
      </c>
      <c r="C39" t="s">
        <v>834</v>
      </c>
      <c r="D39" s="358">
        <v>0</v>
      </c>
      <c r="E39" s="355">
        <v>0</v>
      </c>
      <c r="F39" s="358">
        <v>0</v>
      </c>
      <c r="G39" s="355">
        <v>0</v>
      </c>
      <c r="H39" s="358">
        <v>0</v>
      </c>
      <c r="I39" s="358"/>
      <c r="J39" s="358">
        <v>0</v>
      </c>
      <c r="K39" s="356">
        <f t="shared" si="1"/>
        <v>0</v>
      </c>
      <c r="N39" t="s">
        <v>753</v>
      </c>
    </row>
    <row r="40" spans="1:14" x14ac:dyDescent="0.25">
      <c r="A40" s="359" t="s">
        <v>109</v>
      </c>
      <c r="B40">
        <v>2027</v>
      </c>
      <c r="C40" t="s">
        <v>753</v>
      </c>
      <c r="D40" s="358">
        <v>0</v>
      </c>
      <c r="E40" s="355">
        <v>0</v>
      </c>
      <c r="F40" s="358">
        <v>0</v>
      </c>
      <c r="G40" s="355">
        <v>0</v>
      </c>
      <c r="H40" s="358">
        <v>0</v>
      </c>
      <c r="I40" s="358"/>
      <c r="J40" s="358">
        <v>0</v>
      </c>
      <c r="K40" s="356">
        <f t="shared" si="1"/>
        <v>0</v>
      </c>
      <c r="N40" t="s">
        <v>836</v>
      </c>
    </row>
    <row r="41" spans="1:14" x14ac:dyDescent="0.25">
      <c r="A41" s="359" t="s">
        <v>118</v>
      </c>
      <c r="B41">
        <v>2467</v>
      </c>
      <c r="C41" t="s">
        <v>836</v>
      </c>
      <c r="D41" s="358">
        <v>0</v>
      </c>
      <c r="E41" s="355">
        <v>0</v>
      </c>
      <c r="F41" s="358">
        <v>0</v>
      </c>
      <c r="G41" s="355">
        <v>0</v>
      </c>
      <c r="H41" s="358">
        <v>0</v>
      </c>
      <c r="I41" s="358"/>
      <c r="J41" s="358">
        <v>0</v>
      </c>
      <c r="K41" s="356">
        <f t="shared" si="1"/>
        <v>0</v>
      </c>
      <c r="N41" t="s">
        <v>837</v>
      </c>
    </row>
    <row r="42" spans="1:14" x14ac:dyDescent="0.25">
      <c r="A42" s="359" t="s">
        <v>112</v>
      </c>
      <c r="B42">
        <v>2451</v>
      </c>
      <c r="C42" t="s">
        <v>837</v>
      </c>
      <c r="D42" s="358">
        <v>0</v>
      </c>
      <c r="E42" s="355">
        <v>0</v>
      </c>
      <c r="F42" s="358">
        <v>0</v>
      </c>
      <c r="G42" s="355">
        <v>0</v>
      </c>
      <c r="H42" s="358">
        <v>0</v>
      </c>
      <c r="I42" s="358"/>
      <c r="J42" s="358">
        <v>0</v>
      </c>
      <c r="K42" s="356">
        <f t="shared" si="1"/>
        <v>0</v>
      </c>
      <c r="N42" t="s">
        <v>838</v>
      </c>
    </row>
    <row r="43" spans="1:14" x14ac:dyDescent="0.25">
      <c r="A43" s="359" t="s">
        <v>632</v>
      </c>
      <c r="B43">
        <v>2023</v>
      </c>
      <c r="C43" t="s">
        <v>838</v>
      </c>
      <c r="D43" s="358">
        <v>0</v>
      </c>
      <c r="E43" s="355">
        <v>0</v>
      </c>
      <c r="F43" s="358">
        <v>0</v>
      </c>
      <c r="G43" s="355">
        <v>0</v>
      </c>
      <c r="H43" s="358">
        <v>0</v>
      </c>
      <c r="I43" s="358"/>
      <c r="J43" s="358">
        <v>0</v>
      </c>
      <c r="K43" s="356">
        <f t="shared" si="1"/>
        <v>0</v>
      </c>
      <c r="N43" t="s">
        <v>839</v>
      </c>
    </row>
    <row r="44" spans="1:14" x14ac:dyDescent="0.25">
      <c r="A44" s="359" t="s">
        <v>633</v>
      </c>
      <c r="B44">
        <v>2016</v>
      </c>
      <c r="C44" t="s">
        <v>839</v>
      </c>
      <c r="D44" s="358">
        <v>0</v>
      </c>
      <c r="E44" s="355">
        <v>0</v>
      </c>
      <c r="F44" s="358">
        <v>0</v>
      </c>
      <c r="G44" s="355">
        <v>0</v>
      </c>
      <c r="H44" s="358">
        <v>0</v>
      </c>
      <c r="I44" s="358"/>
      <c r="J44" s="358">
        <v>0</v>
      </c>
      <c r="K44" s="356">
        <f t="shared" si="1"/>
        <v>0</v>
      </c>
      <c r="N44" t="s">
        <v>840</v>
      </c>
    </row>
    <row r="45" spans="1:14" x14ac:dyDescent="0.25">
      <c r="A45" s="359" t="s">
        <v>634</v>
      </c>
      <c r="B45">
        <v>2013</v>
      </c>
      <c r="C45" t="s">
        <v>840</v>
      </c>
      <c r="D45" s="358">
        <v>1170</v>
      </c>
      <c r="E45" s="355">
        <v>0</v>
      </c>
      <c r="F45" s="358">
        <v>2730</v>
      </c>
      <c r="G45" s="355">
        <v>0</v>
      </c>
      <c r="H45" s="358">
        <v>1320</v>
      </c>
      <c r="I45" s="358"/>
      <c r="J45" s="358">
        <v>5220</v>
      </c>
      <c r="K45" s="356">
        <f t="shared" si="1"/>
        <v>0</v>
      </c>
      <c r="N45" t="s">
        <v>841</v>
      </c>
    </row>
    <row r="46" spans="1:14" x14ac:dyDescent="0.25">
      <c r="A46" s="359" t="s">
        <v>635</v>
      </c>
      <c r="B46">
        <v>2010</v>
      </c>
      <c r="C46" t="s">
        <v>841</v>
      </c>
      <c r="D46" s="358">
        <v>0</v>
      </c>
      <c r="E46" s="355">
        <v>0</v>
      </c>
      <c r="F46" s="358">
        <v>0</v>
      </c>
      <c r="G46" s="355">
        <v>0</v>
      </c>
      <c r="H46" s="358">
        <v>0</v>
      </c>
      <c r="I46" s="358"/>
      <c r="J46" s="358">
        <v>0</v>
      </c>
      <c r="K46" s="356">
        <f t="shared" si="1"/>
        <v>0</v>
      </c>
      <c r="N46" t="s">
        <v>842</v>
      </c>
    </row>
    <row r="47" spans="1:14" x14ac:dyDescent="0.25">
      <c r="A47" s="359" t="s">
        <v>87</v>
      </c>
      <c r="B47">
        <v>2002</v>
      </c>
      <c r="C47" t="s">
        <v>842</v>
      </c>
      <c r="D47" s="358">
        <v>0</v>
      </c>
      <c r="E47" s="355">
        <v>0</v>
      </c>
      <c r="F47" s="358">
        <v>0</v>
      </c>
      <c r="G47" s="355">
        <v>0</v>
      </c>
      <c r="H47" s="358">
        <v>0</v>
      </c>
      <c r="I47" s="358"/>
      <c r="J47" s="358">
        <v>0</v>
      </c>
      <c r="K47" s="356">
        <f t="shared" si="1"/>
        <v>0</v>
      </c>
      <c r="N47" t="s">
        <v>843</v>
      </c>
    </row>
    <row r="48" spans="1:14" x14ac:dyDescent="0.25">
      <c r="A48" s="359" t="s">
        <v>636</v>
      </c>
      <c r="B48">
        <v>2006</v>
      </c>
      <c r="C48" t="s">
        <v>843</v>
      </c>
      <c r="D48" s="358">
        <v>0</v>
      </c>
      <c r="E48" s="355">
        <v>0</v>
      </c>
      <c r="F48" s="358">
        <v>0</v>
      </c>
      <c r="G48" s="355">
        <v>0</v>
      </c>
      <c r="H48" s="358">
        <v>0</v>
      </c>
      <c r="I48" s="358"/>
      <c r="J48" s="358">
        <v>0</v>
      </c>
      <c r="K48" s="356">
        <f t="shared" si="1"/>
        <v>0</v>
      </c>
      <c r="N48" t="s">
        <v>844</v>
      </c>
    </row>
    <row r="49" spans="1:14" x14ac:dyDescent="0.25">
      <c r="A49" s="359" t="s">
        <v>106</v>
      </c>
      <c r="B49">
        <v>2024</v>
      </c>
      <c r="C49" t="s">
        <v>844</v>
      </c>
      <c r="D49" s="358">
        <v>0</v>
      </c>
      <c r="E49" s="355">
        <v>0</v>
      </c>
      <c r="F49" s="358">
        <v>0</v>
      </c>
      <c r="G49" s="355">
        <v>0</v>
      </c>
      <c r="H49" s="358">
        <v>0</v>
      </c>
      <c r="I49" s="358"/>
      <c r="J49" s="358">
        <v>0</v>
      </c>
      <c r="K49" s="356">
        <f t="shared" si="1"/>
        <v>0</v>
      </c>
      <c r="N49" t="s">
        <v>845</v>
      </c>
    </row>
    <row r="50" spans="1:14" x14ac:dyDescent="0.25">
      <c r="A50" s="359" t="s">
        <v>132</v>
      </c>
      <c r="B50">
        <v>3544</v>
      </c>
      <c r="C50" t="s">
        <v>845</v>
      </c>
      <c r="D50" s="358">
        <v>195</v>
      </c>
      <c r="E50" s="355">
        <v>0</v>
      </c>
      <c r="F50" s="358">
        <v>0</v>
      </c>
      <c r="G50" s="355">
        <v>0</v>
      </c>
      <c r="H50" s="358">
        <v>0</v>
      </c>
      <c r="I50" s="358"/>
      <c r="J50" s="358">
        <v>195</v>
      </c>
      <c r="K50" s="356">
        <f t="shared" si="1"/>
        <v>0</v>
      </c>
      <c r="N50" t="s">
        <v>846</v>
      </c>
    </row>
    <row r="51" spans="1:14" x14ac:dyDescent="0.25">
      <c r="A51" s="359" t="s">
        <v>637</v>
      </c>
      <c r="B51">
        <v>2022</v>
      </c>
      <c r="C51" t="s">
        <v>846</v>
      </c>
      <c r="D51" s="358">
        <v>0</v>
      </c>
      <c r="E51" s="355">
        <v>0</v>
      </c>
      <c r="F51" s="358">
        <v>0</v>
      </c>
      <c r="G51" s="355">
        <v>0</v>
      </c>
      <c r="H51" s="358">
        <v>0</v>
      </c>
      <c r="I51" s="358"/>
      <c r="J51" s="358">
        <v>0</v>
      </c>
      <c r="K51" s="356">
        <f t="shared" si="1"/>
        <v>0</v>
      </c>
      <c r="N51" t="s">
        <v>847</v>
      </c>
    </row>
    <row r="52" spans="1:14" x14ac:dyDescent="0.25">
      <c r="A52" s="359" t="s">
        <v>638</v>
      </c>
      <c r="B52">
        <v>2020</v>
      </c>
      <c r="C52" t="s">
        <v>847</v>
      </c>
      <c r="D52" s="358">
        <v>0</v>
      </c>
      <c r="E52" s="355">
        <v>0</v>
      </c>
      <c r="F52" s="358">
        <v>0</v>
      </c>
      <c r="G52" s="355">
        <v>0</v>
      </c>
      <c r="H52" s="358">
        <v>0</v>
      </c>
      <c r="I52" s="358"/>
      <c r="J52" s="358">
        <v>0</v>
      </c>
      <c r="K52" s="356">
        <f t="shared" si="1"/>
        <v>0</v>
      </c>
      <c r="N52" t="s">
        <v>848</v>
      </c>
    </row>
    <row r="53" spans="1:14" x14ac:dyDescent="0.25">
      <c r="A53" s="359" t="s">
        <v>639</v>
      </c>
      <c r="B53">
        <v>2028</v>
      </c>
      <c r="C53" s="352" t="s">
        <v>848</v>
      </c>
      <c r="D53" s="358">
        <v>0</v>
      </c>
      <c r="E53" s="355">
        <v>0</v>
      </c>
      <c r="F53" s="358">
        <v>0</v>
      </c>
      <c r="G53" s="355">
        <v>0</v>
      </c>
      <c r="H53" s="358">
        <v>0</v>
      </c>
      <c r="I53" s="358"/>
      <c r="J53" s="358">
        <v>0</v>
      </c>
      <c r="K53" s="356">
        <f t="shared" si="1"/>
        <v>0</v>
      </c>
      <c r="N53" t="s">
        <v>849</v>
      </c>
    </row>
    <row r="54" spans="1:14" x14ac:dyDescent="0.25">
      <c r="A54" s="359" t="s">
        <v>640</v>
      </c>
      <c r="B54">
        <v>3543</v>
      </c>
      <c r="C54" t="s">
        <v>849</v>
      </c>
      <c r="D54" s="358">
        <v>0</v>
      </c>
      <c r="E54" s="355">
        <v>0</v>
      </c>
      <c r="F54" s="358">
        <v>0</v>
      </c>
      <c r="G54" s="355">
        <v>0</v>
      </c>
      <c r="H54" s="358">
        <v>0</v>
      </c>
      <c r="I54" s="358"/>
      <c r="J54" s="358">
        <v>0</v>
      </c>
      <c r="K54" s="356">
        <f t="shared" si="1"/>
        <v>0</v>
      </c>
      <c r="N54" t="s">
        <v>850</v>
      </c>
    </row>
    <row r="55" spans="1:14" x14ac:dyDescent="0.25">
      <c r="A55" s="359" t="s">
        <v>641</v>
      </c>
      <c r="B55">
        <v>3158</v>
      </c>
      <c r="C55" t="s">
        <v>850</v>
      </c>
      <c r="D55" s="358">
        <v>1560</v>
      </c>
      <c r="E55" s="355">
        <v>0</v>
      </c>
      <c r="F55" s="358">
        <v>1890</v>
      </c>
      <c r="G55" s="355">
        <v>0</v>
      </c>
      <c r="H55" s="358">
        <v>1155</v>
      </c>
      <c r="I55" s="358"/>
      <c r="J55" s="358">
        <v>4605</v>
      </c>
      <c r="K55" s="356">
        <f t="shared" si="1"/>
        <v>0</v>
      </c>
      <c r="N55" t="s">
        <v>851</v>
      </c>
    </row>
    <row r="56" spans="1:14" x14ac:dyDescent="0.25">
      <c r="A56" s="359" t="s">
        <v>642</v>
      </c>
      <c r="B56">
        <v>3528</v>
      </c>
      <c r="C56" t="s">
        <v>851</v>
      </c>
      <c r="D56" s="358">
        <v>0</v>
      </c>
      <c r="E56" s="355">
        <v>0</v>
      </c>
      <c r="F56" s="358">
        <v>0</v>
      </c>
      <c r="G56" s="355">
        <v>0</v>
      </c>
      <c r="H56" s="358">
        <v>0</v>
      </c>
      <c r="I56" s="358"/>
      <c r="J56" s="358">
        <v>0</v>
      </c>
      <c r="K56" s="356">
        <f t="shared" si="1"/>
        <v>0</v>
      </c>
      <c r="N56" t="s">
        <v>852</v>
      </c>
    </row>
    <row r="57" spans="1:14" x14ac:dyDescent="0.25">
      <c r="A57" s="359" t="s">
        <v>643</v>
      </c>
      <c r="B57">
        <v>3546</v>
      </c>
      <c r="C57" t="s">
        <v>852</v>
      </c>
      <c r="D57" s="358">
        <v>1560</v>
      </c>
      <c r="E57" s="355">
        <v>0</v>
      </c>
      <c r="F57" s="358">
        <v>2100</v>
      </c>
      <c r="G57" s="355">
        <v>0</v>
      </c>
      <c r="H57" s="358">
        <v>1650</v>
      </c>
      <c r="I57" s="358"/>
      <c r="J57" s="358">
        <v>5310</v>
      </c>
      <c r="K57" s="356">
        <f t="shared" si="1"/>
        <v>0</v>
      </c>
      <c r="N57" t="s">
        <v>853</v>
      </c>
    </row>
    <row r="58" spans="1:14" x14ac:dyDescent="0.25">
      <c r="A58" s="359" t="s">
        <v>644</v>
      </c>
      <c r="B58">
        <v>3530</v>
      </c>
      <c r="C58" t="s">
        <v>853</v>
      </c>
      <c r="D58" s="358">
        <v>0</v>
      </c>
      <c r="E58" s="355">
        <v>0</v>
      </c>
      <c r="F58" s="358">
        <v>0</v>
      </c>
      <c r="G58" s="355">
        <v>0</v>
      </c>
      <c r="H58" s="358">
        <v>0</v>
      </c>
      <c r="I58" s="358"/>
      <c r="J58" s="358">
        <v>0</v>
      </c>
      <c r="K58" s="356">
        <f t="shared" si="1"/>
        <v>0</v>
      </c>
      <c r="N58" t="s">
        <v>854</v>
      </c>
    </row>
    <row r="59" spans="1:14" x14ac:dyDescent="0.25">
      <c r="A59" s="359" t="s">
        <v>645</v>
      </c>
      <c r="B59">
        <v>2007</v>
      </c>
      <c r="C59" t="s">
        <v>854</v>
      </c>
      <c r="D59" s="358">
        <v>0</v>
      </c>
      <c r="E59" s="355">
        <v>0</v>
      </c>
      <c r="F59" s="358">
        <v>0</v>
      </c>
      <c r="G59" s="355">
        <v>0</v>
      </c>
      <c r="H59" s="358">
        <v>0</v>
      </c>
      <c r="I59" s="358"/>
      <c r="J59" s="358">
        <v>0</v>
      </c>
      <c r="K59" s="356">
        <f t="shared" si="1"/>
        <v>0</v>
      </c>
      <c r="N59" t="s">
        <v>646</v>
      </c>
    </row>
    <row r="60" spans="1:14" ht="15" thickBot="1" x14ac:dyDescent="0.4">
      <c r="A60" s="359" t="s">
        <v>855</v>
      </c>
      <c r="B60">
        <v>4000</v>
      </c>
      <c r="C60" t="s">
        <v>646</v>
      </c>
      <c r="D60" s="358">
        <v>0</v>
      </c>
      <c r="E60" s="355">
        <v>0</v>
      </c>
      <c r="F60" s="358">
        <v>0</v>
      </c>
      <c r="G60" s="355">
        <v>0</v>
      </c>
      <c r="H60" s="358">
        <v>0</v>
      </c>
      <c r="I60" s="358"/>
      <c r="J60" s="358">
        <v>0</v>
      </c>
      <c r="K60" s="363">
        <f t="shared" si="1"/>
        <v>0</v>
      </c>
      <c r="L60" s="343"/>
      <c r="M60" s="374"/>
      <c r="N60">
        <v>0</v>
      </c>
    </row>
    <row r="61" spans="1:14" ht="15.5" thickTop="1" thickBot="1" x14ac:dyDescent="0.4">
      <c r="A61" s="342" t="s">
        <v>856</v>
      </c>
      <c r="B61" s="343" t="s">
        <v>60</v>
      </c>
      <c r="C61" s="343"/>
      <c r="D61" s="365">
        <v>86036.032105263148</v>
      </c>
      <c r="E61" s="362">
        <v>0</v>
      </c>
      <c r="F61" s="365">
        <v>91960.908421052634</v>
      </c>
      <c r="G61" s="362">
        <v>0</v>
      </c>
      <c r="H61" s="365">
        <v>76569.684052631579</v>
      </c>
      <c r="I61" s="365">
        <v>0</v>
      </c>
      <c r="J61" s="365">
        <v>254566.62457894735</v>
      </c>
      <c r="K61" s="356">
        <f t="shared" si="1"/>
        <v>0</v>
      </c>
      <c r="N61" t="s">
        <v>857</v>
      </c>
    </row>
    <row r="62" spans="1:14" ht="13" thickTop="1" x14ac:dyDescent="0.25">
      <c r="A62" s="359" t="s">
        <v>328</v>
      </c>
      <c r="B62">
        <v>206189</v>
      </c>
      <c r="C62" t="s">
        <v>857</v>
      </c>
      <c r="D62" s="358">
        <v>1365</v>
      </c>
      <c r="E62" s="355">
        <v>0</v>
      </c>
      <c r="F62" s="358">
        <v>1470</v>
      </c>
      <c r="G62" s="355">
        <v>0</v>
      </c>
      <c r="H62" s="358">
        <v>825</v>
      </c>
      <c r="I62" s="358"/>
      <c r="J62" s="358">
        <v>3660</v>
      </c>
      <c r="K62" s="356">
        <f t="shared" si="1"/>
        <v>0</v>
      </c>
      <c r="N62" t="s">
        <v>858</v>
      </c>
    </row>
    <row r="63" spans="1:14" x14ac:dyDescent="0.25">
      <c r="A63" s="359" t="s">
        <v>329</v>
      </c>
      <c r="B63" t="s">
        <v>649</v>
      </c>
      <c r="C63" t="s">
        <v>858</v>
      </c>
      <c r="D63" s="358">
        <v>3510</v>
      </c>
      <c r="E63" s="355">
        <v>0</v>
      </c>
      <c r="F63" s="358">
        <v>2730</v>
      </c>
      <c r="G63" s="355">
        <v>0</v>
      </c>
      <c r="H63" s="358">
        <v>2805</v>
      </c>
      <c r="I63" s="358"/>
      <c r="J63" s="358">
        <v>9045</v>
      </c>
      <c r="K63" s="356">
        <f t="shared" si="1"/>
        <v>0</v>
      </c>
      <c r="N63" t="s">
        <v>859</v>
      </c>
    </row>
    <row r="64" spans="1:14" x14ac:dyDescent="0.25">
      <c r="A64" s="359" t="s">
        <v>165</v>
      </c>
      <c r="B64" t="s">
        <v>332</v>
      </c>
      <c r="C64" t="s">
        <v>859</v>
      </c>
      <c r="D64" s="358">
        <v>1755</v>
      </c>
      <c r="E64" s="355">
        <v>0</v>
      </c>
      <c r="F64" s="358">
        <v>1260</v>
      </c>
      <c r="G64" s="355">
        <v>0</v>
      </c>
      <c r="H64" s="358">
        <v>2013</v>
      </c>
      <c r="I64" s="358"/>
      <c r="J64" s="358">
        <v>5028</v>
      </c>
      <c r="K64" s="356">
        <f t="shared" si="1"/>
        <v>0</v>
      </c>
      <c r="N64" t="s">
        <v>860</v>
      </c>
    </row>
    <row r="65" spans="1:14" x14ac:dyDescent="0.25">
      <c r="A65" s="359" t="s">
        <v>334</v>
      </c>
      <c r="B65" t="s">
        <v>333</v>
      </c>
      <c r="C65" t="s">
        <v>860</v>
      </c>
      <c r="D65" s="358">
        <v>1949.6613157894737</v>
      </c>
      <c r="E65" s="355">
        <v>0</v>
      </c>
      <c r="F65" s="358">
        <v>1890</v>
      </c>
      <c r="G65" s="355">
        <v>0</v>
      </c>
      <c r="H65" s="358">
        <v>2144.5223684210523</v>
      </c>
      <c r="I65" s="358"/>
      <c r="J65" s="358">
        <v>5984.1836842105258</v>
      </c>
      <c r="K65" s="356">
        <f t="shared" si="1"/>
        <v>0</v>
      </c>
      <c r="N65" t="s">
        <v>862</v>
      </c>
    </row>
    <row r="66" spans="1:14" x14ac:dyDescent="0.25">
      <c r="A66" s="359" t="s">
        <v>335</v>
      </c>
      <c r="B66">
        <v>206124</v>
      </c>
      <c r="C66" t="s">
        <v>862</v>
      </c>
      <c r="D66" s="358">
        <v>195</v>
      </c>
      <c r="E66" s="355">
        <v>0</v>
      </c>
      <c r="F66" s="358">
        <v>840</v>
      </c>
      <c r="G66" s="355">
        <v>0</v>
      </c>
      <c r="H66" s="358">
        <v>165</v>
      </c>
      <c r="I66" s="358"/>
      <c r="J66" s="358">
        <v>1200</v>
      </c>
      <c r="K66" s="356">
        <f t="shared" si="1"/>
        <v>0</v>
      </c>
      <c r="N66" t="s">
        <v>1016</v>
      </c>
    </row>
    <row r="67" spans="1:14" x14ac:dyDescent="0.25">
      <c r="A67" s="359" t="s">
        <v>861</v>
      </c>
      <c r="B67" t="s">
        <v>1016</v>
      </c>
      <c r="C67" t="s">
        <v>1016</v>
      </c>
      <c r="D67" s="358">
        <v>0</v>
      </c>
      <c r="E67" s="355">
        <v>0</v>
      </c>
      <c r="F67" s="358">
        <v>0</v>
      </c>
      <c r="G67" s="355">
        <v>0</v>
      </c>
      <c r="H67" s="358">
        <v>0</v>
      </c>
      <c r="I67" s="358"/>
      <c r="J67" s="358">
        <v>0</v>
      </c>
      <c r="K67" s="356">
        <f t="shared" si="1"/>
        <v>0</v>
      </c>
      <c r="N67" t="s">
        <v>863</v>
      </c>
    </row>
    <row r="68" spans="1:14" x14ac:dyDescent="0.25">
      <c r="A68" s="359" t="s">
        <v>338</v>
      </c>
      <c r="B68">
        <v>206126</v>
      </c>
      <c r="C68" t="s">
        <v>863</v>
      </c>
      <c r="D68" s="358">
        <v>572</v>
      </c>
      <c r="E68" s="355">
        <v>0</v>
      </c>
      <c r="F68" s="358">
        <v>630</v>
      </c>
      <c r="G68" s="355">
        <v>0</v>
      </c>
      <c r="H68" s="358">
        <v>154</v>
      </c>
      <c r="I68" s="358"/>
      <c r="J68" s="358">
        <v>1356</v>
      </c>
      <c r="K68" s="356">
        <f t="shared" si="1"/>
        <v>0</v>
      </c>
      <c r="N68" t="s">
        <v>864</v>
      </c>
    </row>
    <row r="69" spans="1:14" x14ac:dyDescent="0.25">
      <c r="A69" s="359" t="s">
        <v>339</v>
      </c>
      <c r="B69">
        <v>206111</v>
      </c>
      <c r="C69" t="s">
        <v>864</v>
      </c>
      <c r="D69" s="358">
        <v>663</v>
      </c>
      <c r="E69" s="355">
        <v>0</v>
      </c>
      <c r="F69" s="358">
        <v>898.21052631578959</v>
      </c>
      <c r="G69" s="355">
        <v>0</v>
      </c>
      <c r="H69" s="358">
        <v>726</v>
      </c>
      <c r="I69" s="358"/>
      <c r="J69" s="358">
        <v>2287.2105263157896</v>
      </c>
      <c r="K69" s="356">
        <f t="shared" ref="K69:K100" si="2">E69+G69+I69</f>
        <v>0</v>
      </c>
      <c r="N69" t="s">
        <v>866</v>
      </c>
    </row>
    <row r="70" spans="1:14" x14ac:dyDescent="0.25">
      <c r="A70" s="359" t="s">
        <v>865</v>
      </c>
      <c r="B70" t="s">
        <v>866</v>
      </c>
      <c r="C70" t="s">
        <v>866</v>
      </c>
      <c r="D70" s="358">
        <v>780</v>
      </c>
      <c r="E70" s="355">
        <v>0</v>
      </c>
      <c r="F70" s="358">
        <v>630</v>
      </c>
      <c r="G70" s="355">
        <v>0</v>
      </c>
      <c r="H70" s="358">
        <v>990</v>
      </c>
      <c r="I70" s="358"/>
      <c r="J70" s="358">
        <v>2400</v>
      </c>
      <c r="K70" s="356">
        <f t="shared" si="2"/>
        <v>0</v>
      </c>
      <c r="N70" t="s">
        <v>867</v>
      </c>
    </row>
    <row r="71" spans="1:14" x14ac:dyDescent="0.25">
      <c r="A71" s="359" t="s">
        <v>340</v>
      </c>
      <c r="B71">
        <v>206091</v>
      </c>
      <c r="C71" t="s">
        <v>867</v>
      </c>
      <c r="D71" s="358">
        <v>1932.7852631578946</v>
      </c>
      <c r="E71" s="355">
        <v>0</v>
      </c>
      <c r="F71" s="358">
        <v>2519.6352631578948</v>
      </c>
      <c r="G71" s="355">
        <v>0</v>
      </c>
      <c r="H71" s="358">
        <v>1484.9073684210528</v>
      </c>
      <c r="I71" s="358"/>
      <c r="J71" s="358">
        <v>5937.3278947368417</v>
      </c>
      <c r="K71" s="356">
        <f t="shared" si="2"/>
        <v>0</v>
      </c>
      <c r="N71" t="s">
        <v>835</v>
      </c>
    </row>
    <row r="72" spans="1:14" x14ac:dyDescent="0.25">
      <c r="A72" s="359" t="s">
        <v>1017</v>
      </c>
      <c r="B72" t="s">
        <v>835</v>
      </c>
      <c r="C72" t="s">
        <v>835</v>
      </c>
      <c r="D72" s="358">
        <v>0</v>
      </c>
      <c r="E72" s="355">
        <v>0</v>
      </c>
      <c r="F72" s="358">
        <v>0</v>
      </c>
      <c r="G72" s="355">
        <v>0</v>
      </c>
      <c r="H72" s="358">
        <v>0</v>
      </c>
      <c r="I72" s="358"/>
      <c r="J72" s="358">
        <v>0</v>
      </c>
      <c r="K72" s="356">
        <f t="shared" si="2"/>
        <v>0</v>
      </c>
      <c r="N72" t="s">
        <v>868</v>
      </c>
    </row>
    <row r="73" spans="1:14" x14ac:dyDescent="0.25">
      <c r="A73" s="359" t="s">
        <v>341</v>
      </c>
      <c r="B73">
        <v>206128</v>
      </c>
      <c r="C73" t="s">
        <v>868</v>
      </c>
      <c r="D73" s="358">
        <v>0</v>
      </c>
      <c r="E73" s="355">
        <v>0</v>
      </c>
      <c r="F73" s="358">
        <v>0</v>
      </c>
      <c r="G73" s="355">
        <v>0</v>
      </c>
      <c r="H73" s="358">
        <v>330</v>
      </c>
      <c r="I73" s="358"/>
      <c r="J73" s="358">
        <v>330</v>
      </c>
      <c r="K73" s="356">
        <f t="shared" si="2"/>
        <v>0</v>
      </c>
      <c r="N73" t="s">
        <v>869</v>
      </c>
    </row>
    <row r="74" spans="1:14" x14ac:dyDescent="0.25">
      <c r="A74" s="359" t="s">
        <v>1357</v>
      </c>
      <c r="B74" t="s">
        <v>1358</v>
      </c>
      <c r="C74" t="s">
        <v>1358</v>
      </c>
      <c r="D74" s="358">
        <v>195</v>
      </c>
      <c r="E74" s="355">
        <v>0</v>
      </c>
      <c r="F74" s="358">
        <v>0</v>
      </c>
      <c r="G74" s="355">
        <v>0</v>
      </c>
      <c r="H74" s="358">
        <v>0</v>
      </c>
      <c r="I74" s="358"/>
      <c r="J74" s="358">
        <v>195</v>
      </c>
      <c r="K74" s="356">
        <f t="shared" si="2"/>
        <v>0</v>
      </c>
      <c r="N74" t="s">
        <v>870</v>
      </c>
    </row>
    <row r="75" spans="1:14" x14ac:dyDescent="0.25">
      <c r="A75" s="359" t="s">
        <v>342</v>
      </c>
      <c r="B75">
        <v>205999</v>
      </c>
      <c r="C75" t="s">
        <v>869</v>
      </c>
      <c r="D75" s="358">
        <v>0</v>
      </c>
      <c r="E75" s="355">
        <v>0</v>
      </c>
      <c r="F75" s="358">
        <v>0</v>
      </c>
      <c r="G75" s="355">
        <v>0</v>
      </c>
      <c r="H75" s="358">
        <v>0</v>
      </c>
      <c r="I75" s="358"/>
      <c r="J75" s="358">
        <v>0</v>
      </c>
      <c r="K75" s="356">
        <f t="shared" si="2"/>
        <v>0</v>
      </c>
      <c r="N75" t="s">
        <v>871</v>
      </c>
    </row>
    <row r="76" spans="1:14" x14ac:dyDescent="0.25">
      <c r="A76" s="359" t="s">
        <v>344</v>
      </c>
      <c r="B76" t="s">
        <v>343</v>
      </c>
      <c r="C76" t="s">
        <v>870</v>
      </c>
      <c r="D76" s="358">
        <v>0</v>
      </c>
      <c r="E76" s="355">
        <v>0</v>
      </c>
      <c r="F76" s="358">
        <v>0</v>
      </c>
      <c r="G76" s="355">
        <v>0</v>
      </c>
      <c r="H76" s="358">
        <v>0</v>
      </c>
      <c r="I76" s="358"/>
      <c r="J76" s="358">
        <v>0</v>
      </c>
      <c r="K76" s="356">
        <f t="shared" si="2"/>
        <v>0</v>
      </c>
      <c r="N76" t="s">
        <v>872</v>
      </c>
    </row>
    <row r="77" spans="1:14" x14ac:dyDescent="0.25">
      <c r="A77" s="359" t="s">
        <v>346</v>
      </c>
      <c r="B77" t="s">
        <v>345</v>
      </c>
      <c r="C77" t="s">
        <v>871</v>
      </c>
      <c r="D77" s="358">
        <v>0</v>
      </c>
      <c r="E77" s="355">
        <v>0</v>
      </c>
      <c r="F77" s="358">
        <v>0</v>
      </c>
      <c r="G77" s="355">
        <v>0</v>
      </c>
      <c r="H77" s="358">
        <v>0</v>
      </c>
      <c r="I77" s="358"/>
      <c r="J77" s="358">
        <v>0</v>
      </c>
      <c r="K77" s="356">
        <f t="shared" si="2"/>
        <v>0</v>
      </c>
      <c r="N77" t="s">
        <v>873</v>
      </c>
    </row>
    <row r="78" spans="1:14" x14ac:dyDescent="0.25">
      <c r="A78" s="359" t="s">
        <v>347</v>
      </c>
      <c r="B78">
        <v>205921</v>
      </c>
      <c r="C78" t="s">
        <v>872</v>
      </c>
      <c r="D78" s="358">
        <v>0</v>
      </c>
      <c r="E78" s="355">
        <v>0</v>
      </c>
      <c r="F78" s="358">
        <v>0</v>
      </c>
      <c r="G78" s="355">
        <v>0</v>
      </c>
      <c r="H78" s="358">
        <v>0</v>
      </c>
      <c r="I78" s="358"/>
      <c r="J78" s="358">
        <v>0</v>
      </c>
      <c r="K78" s="356">
        <f t="shared" si="2"/>
        <v>0</v>
      </c>
      <c r="N78" t="s">
        <v>874</v>
      </c>
    </row>
    <row r="79" spans="1:14" x14ac:dyDescent="0.25">
      <c r="A79" s="359" t="s">
        <v>348</v>
      </c>
      <c r="B79">
        <v>206011</v>
      </c>
      <c r="C79" t="s">
        <v>873</v>
      </c>
      <c r="D79" s="358">
        <v>0</v>
      </c>
      <c r="E79" s="355">
        <v>0</v>
      </c>
      <c r="F79" s="358">
        <v>420</v>
      </c>
      <c r="G79" s="355">
        <v>0</v>
      </c>
      <c r="H79" s="358">
        <v>0</v>
      </c>
      <c r="I79" s="358"/>
      <c r="J79" s="358">
        <v>420</v>
      </c>
      <c r="K79" s="356">
        <f t="shared" si="2"/>
        <v>0</v>
      </c>
      <c r="N79" t="s">
        <v>875</v>
      </c>
    </row>
    <row r="80" spans="1:14" x14ac:dyDescent="0.25">
      <c r="A80" s="359" t="s">
        <v>349</v>
      </c>
      <c r="B80" t="s">
        <v>874</v>
      </c>
      <c r="C80" t="s">
        <v>874</v>
      </c>
      <c r="D80" s="358">
        <v>0</v>
      </c>
      <c r="E80" s="355">
        <v>0</v>
      </c>
      <c r="F80" s="358">
        <v>0</v>
      </c>
      <c r="G80" s="355">
        <v>0</v>
      </c>
      <c r="H80" s="358">
        <v>0</v>
      </c>
      <c r="I80" s="358"/>
      <c r="J80" s="358">
        <v>0</v>
      </c>
      <c r="K80" s="356">
        <f t="shared" si="2"/>
        <v>0</v>
      </c>
      <c r="N80" t="s">
        <v>876</v>
      </c>
    </row>
    <row r="81" spans="1:14" x14ac:dyDescent="0.25">
      <c r="A81" s="359" t="s">
        <v>353</v>
      </c>
      <c r="B81" t="s">
        <v>352</v>
      </c>
      <c r="C81" t="s">
        <v>875</v>
      </c>
      <c r="D81" s="358">
        <v>0</v>
      </c>
      <c r="E81" s="355">
        <v>0</v>
      </c>
      <c r="F81" s="358">
        <v>0</v>
      </c>
      <c r="G81" s="355">
        <v>0</v>
      </c>
      <c r="H81" s="358">
        <v>0</v>
      </c>
      <c r="I81" s="358"/>
      <c r="J81" s="358">
        <v>0</v>
      </c>
      <c r="K81" s="356">
        <f t="shared" si="2"/>
        <v>0</v>
      </c>
      <c r="N81" t="s">
        <v>877</v>
      </c>
    </row>
    <row r="82" spans="1:14" x14ac:dyDescent="0.25">
      <c r="A82" s="359" t="s">
        <v>355</v>
      </c>
      <c r="B82" t="s">
        <v>354</v>
      </c>
      <c r="C82" t="s">
        <v>876</v>
      </c>
      <c r="D82" s="358">
        <v>0</v>
      </c>
      <c r="E82" s="355">
        <v>0</v>
      </c>
      <c r="F82" s="358">
        <v>0</v>
      </c>
      <c r="G82" s="355">
        <v>0</v>
      </c>
      <c r="H82" s="358">
        <v>0</v>
      </c>
      <c r="I82" s="358"/>
      <c r="J82" s="358">
        <v>0</v>
      </c>
      <c r="K82" s="356">
        <f t="shared" si="2"/>
        <v>0</v>
      </c>
      <c r="N82" t="s">
        <v>878</v>
      </c>
    </row>
    <row r="83" spans="1:14" x14ac:dyDescent="0.25">
      <c r="A83" s="359" t="s">
        <v>357</v>
      </c>
      <c r="B83" t="s">
        <v>356</v>
      </c>
      <c r="C83" t="s">
        <v>877</v>
      </c>
      <c r="D83" s="358">
        <v>0</v>
      </c>
      <c r="E83" s="355">
        <v>0</v>
      </c>
      <c r="F83" s="358">
        <v>0</v>
      </c>
      <c r="G83" s="355">
        <v>0</v>
      </c>
      <c r="H83" s="358">
        <v>0</v>
      </c>
      <c r="I83" s="358"/>
      <c r="J83" s="358">
        <v>0</v>
      </c>
      <c r="K83" s="356">
        <f t="shared" si="2"/>
        <v>0</v>
      </c>
      <c r="N83" t="s">
        <v>880</v>
      </c>
    </row>
    <row r="84" spans="1:14" x14ac:dyDescent="0.25">
      <c r="A84" s="359" t="s">
        <v>358</v>
      </c>
      <c r="B84">
        <v>2549324</v>
      </c>
      <c r="C84" t="s">
        <v>878</v>
      </c>
      <c r="D84" s="358">
        <v>104</v>
      </c>
      <c r="E84" s="355">
        <v>0</v>
      </c>
      <c r="F84" s="358">
        <v>0</v>
      </c>
      <c r="G84" s="355">
        <v>0</v>
      </c>
      <c r="H84" s="358">
        <v>165</v>
      </c>
      <c r="I84" s="358"/>
      <c r="J84" s="358">
        <v>269</v>
      </c>
      <c r="K84" s="356">
        <f t="shared" si="2"/>
        <v>0</v>
      </c>
      <c r="N84" t="s">
        <v>1019</v>
      </c>
    </row>
    <row r="85" spans="1:14" x14ac:dyDescent="0.25">
      <c r="A85" s="359" t="s">
        <v>879</v>
      </c>
      <c r="B85" t="s">
        <v>880</v>
      </c>
      <c r="C85" t="s">
        <v>880</v>
      </c>
      <c r="D85" s="358">
        <v>0</v>
      </c>
      <c r="E85" s="355">
        <v>0</v>
      </c>
      <c r="F85" s="358">
        <v>210</v>
      </c>
      <c r="G85" s="355">
        <v>0</v>
      </c>
      <c r="H85" s="358">
        <v>0</v>
      </c>
      <c r="I85" s="358"/>
      <c r="J85" s="358">
        <v>210</v>
      </c>
      <c r="K85" s="356">
        <f t="shared" si="2"/>
        <v>0</v>
      </c>
      <c r="N85" t="s">
        <v>881</v>
      </c>
    </row>
    <row r="86" spans="1:14" x14ac:dyDescent="0.25">
      <c r="A86" s="359" t="s">
        <v>1018</v>
      </c>
      <c r="B86" s="352" t="s">
        <v>1332</v>
      </c>
      <c r="C86" s="352" t="s">
        <v>1332</v>
      </c>
      <c r="D86" s="358">
        <v>0</v>
      </c>
      <c r="E86" s="355">
        <v>0</v>
      </c>
      <c r="F86" s="358">
        <v>0</v>
      </c>
      <c r="G86" s="355">
        <v>0</v>
      </c>
      <c r="H86" s="358">
        <v>165</v>
      </c>
      <c r="I86" s="358"/>
      <c r="J86" s="358">
        <v>165</v>
      </c>
      <c r="K86" s="356">
        <f t="shared" si="2"/>
        <v>0</v>
      </c>
      <c r="N86" t="s">
        <v>882</v>
      </c>
    </row>
    <row r="87" spans="1:14" x14ac:dyDescent="0.25">
      <c r="A87" s="359" t="s">
        <v>361</v>
      </c>
      <c r="B87">
        <v>2519477</v>
      </c>
      <c r="C87" t="s">
        <v>881</v>
      </c>
      <c r="D87" s="358">
        <v>0</v>
      </c>
      <c r="E87" s="355">
        <v>0</v>
      </c>
      <c r="F87" s="358">
        <v>0</v>
      </c>
      <c r="G87" s="355">
        <v>0</v>
      </c>
      <c r="H87" s="358">
        <v>0</v>
      </c>
      <c r="I87" s="358"/>
      <c r="J87" s="358">
        <v>0</v>
      </c>
      <c r="K87" s="356">
        <f t="shared" si="2"/>
        <v>0</v>
      </c>
      <c r="N87" t="s">
        <v>884</v>
      </c>
    </row>
    <row r="88" spans="1:14" x14ac:dyDescent="0.25">
      <c r="A88" s="359" t="s">
        <v>365</v>
      </c>
      <c r="B88" t="s">
        <v>364</v>
      </c>
      <c r="C88" t="s">
        <v>882</v>
      </c>
      <c r="D88" s="358">
        <v>0</v>
      </c>
      <c r="E88" s="355">
        <v>0</v>
      </c>
      <c r="F88" s="358">
        <v>0</v>
      </c>
      <c r="G88" s="355">
        <v>0</v>
      </c>
      <c r="H88" s="358">
        <v>0</v>
      </c>
      <c r="I88" s="358"/>
      <c r="J88" s="358">
        <v>0</v>
      </c>
      <c r="K88" s="356">
        <f t="shared" si="2"/>
        <v>0</v>
      </c>
      <c r="N88" t="s">
        <v>885</v>
      </c>
    </row>
    <row r="89" spans="1:14" x14ac:dyDescent="0.25">
      <c r="A89" s="359" t="s">
        <v>1368</v>
      </c>
      <c r="B89" t="s">
        <v>884</v>
      </c>
      <c r="C89" t="s">
        <v>884</v>
      </c>
      <c r="D89" s="358">
        <v>0</v>
      </c>
      <c r="E89" s="355">
        <v>0</v>
      </c>
      <c r="F89" s="358">
        <v>0</v>
      </c>
      <c r="G89" s="355">
        <v>0</v>
      </c>
      <c r="H89" s="358">
        <v>0</v>
      </c>
      <c r="I89" s="358"/>
      <c r="J89" s="358">
        <v>0</v>
      </c>
      <c r="K89" s="356">
        <f t="shared" si="2"/>
        <v>0</v>
      </c>
      <c r="N89" t="s">
        <v>886</v>
      </c>
    </row>
    <row r="90" spans="1:14" x14ac:dyDescent="0.25">
      <c r="A90" s="359" t="s">
        <v>366</v>
      </c>
      <c r="B90">
        <v>205852</v>
      </c>
      <c r="C90" t="s">
        <v>885</v>
      </c>
      <c r="D90" s="358">
        <v>0</v>
      </c>
      <c r="E90" s="355">
        <v>0</v>
      </c>
      <c r="F90" s="358">
        <v>0</v>
      </c>
      <c r="G90" s="355">
        <v>0</v>
      </c>
      <c r="H90" s="358">
        <v>0</v>
      </c>
      <c r="I90" s="358"/>
      <c r="J90" s="358">
        <v>0</v>
      </c>
      <c r="K90" s="356">
        <f t="shared" si="2"/>
        <v>0</v>
      </c>
      <c r="N90" t="s">
        <v>887</v>
      </c>
    </row>
    <row r="91" spans="1:14" x14ac:dyDescent="0.25">
      <c r="A91" s="359" t="s">
        <v>368</v>
      </c>
      <c r="B91">
        <v>205922</v>
      </c>
      <c r="C91" t="s">
        <v>886</v>
      </c>
      <c r="D91" s="358">
        <v>0</v>
      </c>
      <c r="E91" s="355">
        <v>0</v>
      </c>
      <c r="F91" s="358">
        <v>0</v>
      </c>
      <c r="G91" s="355">
        <v>0</v>
      </c>
      <c r="H91" s="358">
        <v>0</v>
      </c>
      <c r="I91" s="358"/>
      <c r="J91" s="358">
        <v>0</v>
      </c>
      <c r="K91" s="356">
        <f t="shared" si="2"/>
        <v>0</v>
      </c>
      <c r="N91" t="s">
        <v>888</v>
      </c>
    </row>
    <row r="92" spans="1:14" x14ac:dyDescent="0.25">
      <c r="A92" s="359" t="s">
        <v>370</v>
      </c>
      <c r="B92" t="s">
        <v>369</v>
      </c>
      <c r="C92" t="s">
        <v>887</v>
      </c>
      <c r="D92" s="358">
        <v>0</v>
      </c>
      <c r="E92" s="355">
        <v>0</v>
      </c>
      <c r="F92" s="358">
        <v>0</v>
      </c>
      <c r="G92" s="355">
        <v>0</v>
      </c>
      <c r="H92" s="358">
        <v>0</v>
      </c>
      <c r="I92" s="358"/>
      <c r="J92" s="358">
        <v>0</v>
      </c>
      <c r="K92" s="356">
        <f t="shared" si="2"/>
        <v>0</v>
      </c>
      <c r="N92" t="s">
        <v>890</v>
      </c>
    </row>
    <row r="93" spans="1:14" x14ac:dyDescent="0.25">
      <c r="A93" s="359" t="s">
        <v>372</v>
      </c>
      <c r="B93" t="s">
        <v>371</v>
      </c>
      <c r="C93" t="s">
        <v>888</v>
      </c>
      <c r="D93" s="358">
        <v>195</v>
      </c>
      <c r="E93" s="355">
        <v>0</v>
      </c>
      <c r="F93" s="358">
        <v>0</v>
      </c>
      <c r="G93" s="355">
        <v>0</v>
      </c>
      <c r="H93" s="358">
        <v>165</v>
      </c>
      <c r="I93" s="358"/>
      <c r="J93" s="358">
        <v>360</v>
      </c>
      <c r="K93" s="356">
        <f t="shared" si="2"/>
        <v>0</v>
      </c>
      <c r="N93" t="s">
        <v>891</v>
      </c>
    </row>
    <row r="94" spans="1:14" x14ac:dyDescent="0.25">
      <c r="A94" s="359" t="s">
        <v>889</v>
      </c>
      <c r="B94" t="s">
        <v>890</v>
      </c>
      <c r="C94" t="s">
        <v>890</v>
      </c>
      <c r="D94" s="358">
        <v>0</v>
      </c>
      <c r="E94" s="355">
        <v>0</v>
      </c>
      <c r="F94" s="358">
        <v>0</v>
      </c>
      <c r="G94" s="355">
        <v>0</v>
      </c>
      <c r="H94" s="358">
        <v>0</v>
      </c>
      <c r="I94" s="358"/>
      <c r="J94" s="358">
        <v>0</v>
      </c>
      <c r="K94" s="356">
        <f t="shared" si="2"/>
        <v>0</v>
      </c>
      <c r="N94" t="s">
        <v>892</v>
      </c>
    </row>
    <row r="95" spans="1:14" x14ac:dyDescent="0.25">
      <c r="A95" s="359" t="s">
        <v>373</v>
      </c>
      <c r="B95">
        <v>205947</v>
      </c>
      <c r="C95" t="s">
        <v>891</v>
      </c>
      <c r="D95" s="358">
        <v>0</v>
      </c>
      <c r="E95" s="355">
        <v>0</v>
      </c>
      <c r="F95" s="358">
        <v>0</v>
      </c>
      <c r="G95" s="355">
        <v>0</v>
      </c>
      <c r="H95" s="358">
        <v>0</v>
      </c>
      <c r="I95" s="358"/>
      <c r="J95" s="358">
        <v>0</v>
      </c>
      <c r="K95" s="356">
        <f t="shared" si="2"/>
        <v>0</v>
      </c>
      <c r="N95" t="s">
        <v>893</v>
      </c>
    </row>
    <row r="96" spans="1:14" x14ac:dyDescent="0.25">
      <c r="A96" s="359" t="s">
        <v>376</v>
      </c>
      <c r="B96" t="s">
        <v>375</v>
      </c>
      <c r="C96" t="s">
        <v>892</v>
      </c>
      <c r="D96" s="358">
        <v>0</v>
      </c>
      <c r="E96" s="355">
        <v>0</v>
      </c>
      <c r="F96" s="358">
        <v>0</v>
      </c>
      <c r="G96" s="355">
        <v>0</v>
      </c>
      <c r="H96" s="358">
        <v>0</v>
      </c>
      <c r="I96" s="358"/>
      <c r="J96" s="358">
        <v>0</v>
      </c>
      <c r="K96" s="356">
        <f t="shared" si="2"/>
        <v>0</v>
      </c>
      <c r="N96" t="s">
        <v>894</v>
      </c>
    </row>
    <row r="97" spans="1:14" x14ac:dyDescent="0.25">
      <c r="A97" s="359" t="s">
        <v>374</v>
      </c>
      <c r="B97" t="s">
        <v>893</v>
      </c>
      <c r="C97" t="s">
        <v>893</v>
      </c>
      <c r="D97" s="358">
        <v>0</v>
      </c>
      <c r="E97" s="355">
        <v>0</v>
      </c>
      <c r="F97" s="358">
        <v>0</v>
      </c>
      <c r="G97" s="355">
        <v>0</v>
      </c>
      <c r="H97" s="358">
        <v>0</v>
      </c>
      <c r="I97" s="358"/>
      <c r="J97" s="358">
        <v>0</v>
      </c>
      <c r="K97" s="356">
        <f t="shared" si="2"/>
        <v>0</v>
      </c>
      <c r="N97" t="s">
        <v>895</v>
      </c>
    </row>
    <row r="98" spans="1:14" x14ac:dyDescent="0.25">
      <c r="A98" s="359" t="s">
        <v>380</v>
      </c>
      <c r="B98" t="s">
        <v>379</v>
      </c>
      <c r="C98" t="s">
        <v>894</v>
      </c>
      <c r="D98" s="358">
        <v>0</v>
      </c>
      <c r="E98" s="355">
        <v>0</v>
      </c>
      <c r="F98" s="358">
        <v>0</v>
      </c>
      <c r="G98" s="355">
        <v>0</v>
      </c>
      <c r="H98" s="358">
        <v>0</v>
      </c>
      <c r="I98" s="358"/>
      <c r="J98" s="358">
        <v>0</v>
      </c>
      <c r="K98" s="356">
        <f t="shared" si="2"/>
        <v>0</v>
      </c>
      <c r="N98" t="s">
        <v>896</v>
      </c>
    </row>
    <row r="99" spans="1:14" x14ac:dyDescent="0.25">
      <c r="A99" s="359" t="s">
        <v>1038</v>
      </c>
      <c r="B99" t="s">
        <v>1039</v>
      </c>
      <c r="C99" t="s">
        <v>1039</v>
      </c>
      <c r="D99" s="358">
        <v>0</v>
      </c>
      <c r="E99" s="355">
        <v>0</v>
      </c>
      <c r="F99" s="358">
        <v>210</v>
      </c>
      <c r="G99" s="355">
        <v>0</v>
      </c>
      <c r="H99" s="358">
        <v>0</v>
      </c>
      <c r="I99" s="358"/>
      <c r="J99" s="358">
        <v>210</v>
      </c>
      <c r="K99" s="356">
        <f t="shared" si="2"/>
        <v>0</v>
      </c>
      <c r="N99" t="s">
        <v>1021</v>
      </c>
    </row>
    <row r="100" spans="1:14" x14ac:dyDescent="0.25">
      <c r="A100" s="359" t="s">
        <v>383</v>
      </c>
      <c r="B100" t="s">
        <v>382</v>
      </c>
      <c r="C100" t="s">
        <v>895</v>
      </c>
      <c r="D100" s="358">
        <v>0</v>
      </c>
      <c r="E100" s="355">
        <v>0</v>
      </c>
      <c r="F100" s="358">
        <v>0</v>
      </c>
      <c r="G100" s="355">
        <v>0</v>
      </c>
      <c r="H100" s="358">
        <v>0</v>
      </c>
      <c r="I100" s="358"/>
      <c r="J100" s="358">
        <v>0</v>
      </c>
      <c r="K100" s="356">
        <f t="shared" si="2"/>
        <v>0</v>
      </c>
      <c r="N100" t="s">
        <v>897</v>
      </c>
    </row>
    <row r="101" spans="1:14" x14ac:dyDescent="0.25">
      <c r="A101" s="359" t="s">
        <v>385</v>
      </c>
      <c r="B101" t="s">
        <v>384</v>
      </c>
      <c r="C101" t="s">
        <v>896</v>
      </c>
      <c r="D101" s="358">
        <v>0</v>
      </c>
      <c r="E101" s="355">
        <v>0</v>
      </c>
      <c r="F101" s="358">
        <v>210</v>
      </c>
      <c r="G101" s="355">
        <v>0</v>
      </c>
      <c r="H101" s="358">
        <v>0</v>
      </c>
      <c r="I101" s="358"/>
      <c r="J101" s="358">
        <v>210</v>
      </c>
      <c r="K101" s="356">
        <f t="shared" ref="K101:K132" si="3">E101+G101+I101</f>
        <v>0</v>
      </c>
      <c r="N101" t="s">
        <v>898</v>
      </c>
    </row>
    <row r="102" spans="1:14" x14ac:dyDescent="0.25">
      <c r="A102" s="359" t="s">
        <v>1020</v>
      </c>
      <c r="B102" s="375" t="s">
        <v>1021</v>
      </c>
      <c r="C102" s="375" t="s">
        <v>1021</v>
      </c>
      <c r="D102" s="358">
        <v>0</v>
      </c>
      <c r="E102" s="355">
        <v>0</v>
      </c>
      <c r="F102" s="358">
        <v>0</v>
      </c>
      <c r="G102" s="355">
        <v>0</v>
      </c>
      <c r="H102" s="358">
        <v>0</v>
      </c>
      <c r="I102" s="358"/>
      <c r="J102" s="358">
        <v>0</v>
      </c>
      <c r="K102" s="356">
        <f t="shared" si="3"/>
        <v>0</v>
      </c>
      <c r="N102" t="s">
        <v>899</v>
      </c>
    </row>
    <row r="103" spans="1:14" x14ac:dyDescent="0.25">
      <c r="A103" s="359" t="s">
        <v>387</v>
      </c>
      <c r="B103" t="s">
        <v>386</v>
      </c>
      <c r="C103" t="s">
        <v>897</v>
      </c>
      <c r="D103" s="358">
        <v>195</v>
      </c>
      <c r="E103" s="355">
        <v>0</v>
      </c>
      <c r="F103" s="358">
        <v>0</v>
      </c>
      <c r="G103" s="355">
        <v>0</v>
      </c>
      <c r="H103" s="358">
        <v>165</v>
      </c>
      <c r="I103" s="358"/>
      <c r="J103" s="358">
        <v>360</v>
      </c>
      <c r="K103" s="356">
        <f t="shared" si="3"/>
        <v>0</v>
      </c>
      <c r="N103" t="s">
        <v>900</v>
      </c>
    </row>
    <row r="104" spans="1:14" x14ac:dyDescent="0.25">
      <c r="A104" s="359" t="s">
        <v>755</v>
      </c>
      <c r="B104" t="s">
        <v>898</v>
      </c>
      <c r="C104" t="s">
        <v>898</v>
      </c>
      <c r="D104" s="358">
        <v>0</v>
      </c>
      <c r="E104" s="355">
        <v>0</v>
      </c>
      <c r="F104" s="358">
        <v>0</v>
      </c>
      <c r="G104" s="355">
        <v>0</v>
      </c>
      <c r="H104" s="358">
        <v>0</v>
      </c>
      <c r="I104" s="358"/>
      <c r="J104" s="358">
        <v>0</v>
      </c>
      <c r="K104" s="356">
        <f t="shared" si="3"/>
        <v>0</v>
      </c>
      <c r="N104" t="s">
        <v>901</v>
      </c>
    </row>
    <row r="105" spans="1:14" x14ac:dyDescent="0.25">
      <c r="A105" s="359" t="s">
        <v>754</v>
      </c>
      <c r="B105" t="s">
        <v>899</v>
      </c>
      <c r="C105" t="s">
        <v>899</v>
      </c>
      <c r="D105" s="358">
        <v>0</v>
      </c>
      <c r="E105" s="355">
        <v>0</v>
      </c>
      <c r="F105" s="358">
        <v>210</v>
      </c>
      <c r="G105" s="355">
        <v>0</v>
      </c>
      <c r="H105" s="358">
        <v>0</v>
      </c>
      <c r="I105" s="358"/>
      <c r="J105" s="358">
        <v>210</v>
      </c>
      <c r="K105" s="356">
        <f t="shared" si="3"/>
        <v>0</v>
      </c>
      <c r="N105" t="s">
        <v>902</v>
      </c>
    </row>
    <row r="106" spans="1:14" x14ac:dyDescent="0.25">
      <c r="A106" s="359" t="s">
        <v>390</v>
      </c>
      <c r="B106">
        <v>639307</v>
      </c>
      <c r="C106" t="s">
        <v>900</v>
      </c>
      <c r="D106" s="358">
        <v>0</v>
      </c>
      <c r="E106" s="355">
        <v>0</v>
      </c>
      <c r="F106" s="358">
        <v>0</v>
      </c>
      <c r="G106" s="355">
        <v>0</v>
      </c>
      <c r="H106" s="358">
        <v>0</v>
      </c>
      <c r="I106" s="358"/>
      <c r="J106" s="358">
        <v>0</v>
      </c>
      <c r="K106" s="356">
        <f t="shared" si="3"/>
        <v>0</v>
      </c>
      <c r="N106" t="s">
        <v>903</v>
      </c>
    </row>
    <row r="107" spans="1:14" x14ac:dyDescent="0.25">
      <c r="A107" s="359" t="s">
        <v>391</v>
      </c>
      <c r="B107" t="s">
        <v>901</v>
      </c>
      <c r="C107" t="s">
        <v>901</v>
      </c>
      <c r="D107" s="358">
        <v>0</v>
      </c>
      <c r="E107" s="355">
        <v>0</v>
      </c>
      <c r="F107" s="358">
        <v>0</v>
      </c>
      <c r="G107" s="355">
        <v>0</v>
      </c>
      <c r="H107" s="358">
        <v>0</v>
      </c>
      <c r="I107" s="358"/>
      <c r="J107" s="358">
        <v>0</v>
      </c>
      <c r="K107" s="356">
        <f t="shared" si="3"/>
        <v>0</v>
      </c>
      <c r="N107" t="s">
        <v>905</v>
      </c>
    </row>
    <row r="108" spans="1:14" x14ac:dyDescent="0.25">
      <c r="A108" s="359" t="s">
        <v>392</v>
      </c>
      <c r="B108" t="s">
        <v>902</v>
      </c>
      <c r="C108" t="s">
        <v>902</v>
      </c>
      <c r="D108" s="358">
        <v>195</v>
      </c>
      <c r="E108" s="355">
        <v>0</v>
      </c>
      <c r="F108" s="358">
        <v>420</v>
      </c>
      <c r="G108" s="355">
        <v>0</v>
      </c>
      <c r="H108" s="358">
        <v>0</v>
      </c>
      <c r="I108" s="358"/>
      <c r="J108" s="358">
        <v>615</v>
      </c>
      <c r="K108" s="356">
        <f t="shared" si="3"/>
        <v>0</v>
      </c>
      <c r="N108" t="s">
        <v>906</v>
      </c>
    </row>
    <row r="109" spans="1:14" x14ac:dyDescent="0.25">
      <c r="A109" s="359" t="s">
        <v>393</v>
      </c>
      <c r="B109">
        <v>2559906</v>
      </c>
      <c r="C109" t="s">
        <v>903</v>
      </c>
      <c r="D109" s="358">
        <v>0</v>
      </c>
      <c r="E109" s="355">
        <v>0</v>
      </c>
      <c r="F109" s="358">
        <v>210</v>
      </c>
      <c r="G109" s="355">
        <v>0</v>
      </c>
      <c r="H109" s="358">
        <v>0</v>
      </c>
      <c r="I109" s="358"/>
      <c r="J109" s="358">
        <v>210</v>
      </c>
      <c r="K109" s="356">
        <f t="shared" si="3"/>
        <v>0</v>
      </c>
      <c r="N109" t="s">
        <v>907</v>
      </c>
    </row>
    <row r="110" spans="1:14" x14ac:dyDescent="0.25">
      <c r="A110" s="359" t="s">
        <v>904</v>
      </c>
      <c r="B110" t="s">
        <v>905</v>
      </c>
      <c r="C110" t="s">
        <v>905</v>
      </c>
      <c r="D110" s="358">
        <v>0</v>
      </c>
      <c r="E110" s="355">
        <v>0</v>
      </c>
      <c r="F110" s="358">
        <v>0</v>
      </c>
      <c r="G110" s="355">
        <v>0</v>
      </c>
      <c r="H110" s="358">
        <v>0</v>
      </c>
      <c r="I110" s="358"/>
      <c r="J110" s="358">
        <v>0</v>
      </c>
      <c r="K110" s="356">
        <f t="shared" si="3"/>
        <v>0</v>
      </c>
      <c r="N110" t="s">
        <v>908</v>
      </c>
    </row>
    <row r="111" spans="1:14" x14ac:dyDescent="0.25">
      <c r="A111" s="359" t="s">
        <v>398</v>
      </c>
      <c r="B111" t="s">
        <v>397</v>
      </c>
      <c r="C111" t="s">
        <v>906</v>
      </c>
      <c r="D111" s="358">
        <v>0</v>
      </c>
      <c r="E111" s="355">
        <v>0</v>
      </c>
      <c r="F111" s="358">
        <v>0</v>
      </c>
      <c r="G111" s="355">
        <v>0</v>
      </c>
      <c r="H111" s="358">
        <v>0</v>
      </c>
      <c r="I111" s="358"/>
      <c r="J111" s="358">
        <v>0</v>
      </c>
      <c r="K111" s="356">
        <f t="shared" si="3"/>
        <v>0</v>
      </c>
      <c r="N111" t="s">
        <v>909</v>
      </c>
    </row>
    <row r="112" spans="1:14" x14ac:dyDescent="0.25">
      <c r="A112" s="359" t="s">
        <v>400</v>
      </c>
      <c r="B112" t="s">
        <v>399</v>
      </c>
      <c r="C112" t="s">
        <v>907</v>
      </c>
      <c r="D112" s="358">
        <v>0</v>
      </c>
      <c r="E112" s="355">
        <v>0</v>
      </c>
      <c r="F112" s="358">
        <v>0</v>
      </c>
      <c r="G112" s="355">
        <v>0</v>
      </c>
      <c r="H112" s="358">
        <v>0</v>
      </c>
      <c r="I112" s="358"/>
      <c r="J112" s="358">
        <v>0</v>
      </c>
      <c r="K112" s="356">
        <f t="shared" si="3"/>
        <v>0</v>
      </c>
      <c r="N112" t="s">
        <v>910</v>
      </c>
    </row>
    <row r="113" spans="1:14" x14ac:dyDescent="0.25">
      <c r="A113" s="359" t="s">
        <v>401</v>
      </c>
      <c r="B113">
        <v>205881</v>
      </c>
      <c r="C113" t="s">
        <v>908</v>
      </c>
      <c r="D113" s="358">
        <v>0</v>
      </c>
      <c r="E113" s="355">
        <v>0</v>
      </c>
      <c r="F113" s="358">
        <v>0</v>
      </c>
      <c r="G113" s="355">
        <v>0</v>
      </c>
      <c r="H113" s="358">
        <v>0</v>
      </c>
      <c r="I113" s="358"/>
      <c r="J113" s="358">
        <v>0</v>
      </c>
      <c r="K113" s="356">
        <f t="shared" si="3"/>
        <v>0</v>
      </c>
      <c r="N113" t="s">
        <v>911</v>
      </c>
    </row>
    <row r="114" spans="1:14" x14ac:dyDescent="0.25">
      <c r="A114" s="359" t="s">
        <v>403</v>
      </c>
      <c r="B114" t="s">
        <v>402</v>
      </c>
      <c r="C114" t="s">
        <v>909</v>
      </c>
      <c r="D114" s="358">
        <v>195</v>
      </c>
      <c r="E114" s="355">
        <v>0</v>
      </c>
      <c r="F114" s="358">
        <v>210</v>
      </c>
      <c r="G114" s="355">
        <v>0</v>
      </c>
      <c r="H114" s="358">
        <v>165</v>
      </c>
      <c r="I114" s="358"/>
      <c r="J114" s="358">
        <v>570</v>
      </c>
      <c r="K114" s="356">
        <f t="shared" si="3"/>
        <v>0</v>
      </c>
      <c r="N114" t="s">
        <v>1022</v>
      </c>
    </row>
    <row r="115" spans="1:14" x14ac:dyDescent="0.25">
      <c r="A115" s="359" t="s">
        <v>405</v>
      </c>
      <c r="B115" t="s">
        <v>404</v>
      </c>
      <c r="C115" t="s">
        <v>910</v>
      </c>
      <c r="D115" s="358">
        <v>0</v>
      </c>
      <c r="E115" s="355">
        <v>0</v>
      </c>
      <c r="F115" s="358">
        <v>210</v>
      </c>
      <c r="G115" s="355">
        <v>0</v>
      </c>
      <c r="H115" s="358">
        <v>0</v>
      </c>
      <c r="I115" s="358"/>
      <c r="J115" s="358">
        <v>210</v>
      </c>
      <c r="K115" s="356">
        <f t="shared" si="3"/>
        <v>0</v>
      </c>
      <c r="N115" t="s">
        <v>912</v>
      </c>
    </row>
    <row r="116" spans="1:14" x14ac:dyDescent="0.25">
      <c r="A116" s="359" t="s">
        <v>407</v>
      </c>
      <c r="B116" t="s">
        <v>406</v>
      </c>
      <c r="C116" t="s">
        <v>911</v>
      </c>
      <c r="D116" s="358">
        <v>195</v>
      </c>
      <c r="E116" s="355">
        <v>0</v>
      </c>
      <c r="F116" s="358">
        <v>0</v>
      </c>
      <c r="G116" s="355">
        <v>0</v>
      </c>
      <c r="H116" s="358">
        <v>0</v>
      </c>
      <c r="I116" s="358"/>
      <c r="J116" s="358">
        <v>195</v>
      </c>
      <c r="K116" s="356">
        <f t="shared" si="3"/>
        <v>0</v>
      </c>
      <c r="N116" t="s">
        <v>1024</v>
      </c>
    </row>
    <row r="117" spans="1:14" x14ac:dyDescent="0.25">
      <c r="A117" s="359" t="s">
        <v>408</v>
      </c>
      <c r="B117" t="s">
        <v>1022</v>
      </c>
      <c r="C117" t="s">
        <v>1022</v>
      </c>
      <c r="D117" s="358">
        <v>0</v>
      </c>
      <c r="E117" s="355">
        <v>0</v>
      </c>
      <c r="F117" s="358">
        <v>0</v>
      </c>
      <c r="G117" s="355">
        <v>0</v>
      </c>
      <c r="H117" s="358">
        <v>0</v>
      </c>
      <c r="I117" s="358"/>
      <c r="J117" s="358">
        <v>0</v>
      </c>
      <c r="K117" s="356">
        <f t="shared" si="3"/>
        <v>0</v>
      </c>
      <c r="N117" t="s">
        <v>913</v>
      </c>
    </row>
    <row r="118" spans="1:14" x14ac:dyDescent="0.25">
      <c r="A118" s="359" t="s">
        <v>410</v>
      </c>
      <c r="B118" t="s">
        <v>409</v>
      </c>
      <c r="C118" t="s">
        <v>912</v>
      </c>
      <c r="D118" s="358">
        <v>0</v>
      </c>
      <c r="E118" s="355">
        <v>0</v>
      </c>
      <c r="F118" s="358">
        <v>210</v>
      </c>
      <c r="G118" s="355">
        <v>0</v>
      </c>
      <c r="H118" s="358">
        <v>0</v>
      </c>
      <c r="I118" s="358"/>
      <c r="J118" s="358">
        <v>210</v>
      </c>
      <c r="K118" s="356">
        <f t="shared" si="3"/>
        <v>0</v>
      </c>
      <c r="N118" t="s">
        <v>1026</v>
      </c>
    </row>
    <row r="119" spans="1:14" ht="25" x14ac:dyDescent="0.25">
      <c r="A119" s="359" t="s">
        <v>1023</v>
      </c>
      <c r="B119" s="375" t="s">
        <v>1024</v>
      </c>
      <c r="C119" s="375" t="s">
        <v>1024</v>
      </c>
      <c r="D119" s="358">
        <v>0</v>
      </c>
      <c r="E119" s="355">
        <v>0</v>
      </c>
      <c r="F119" s="358">
        <v>0</v>
      </c>
      <c r="G119" s="355">
        <v>0</v>
      </c>
      <c r="H119" s="358">
        <v>0</v>
      </c>
      <c r="I119" s="358"/>
      <c r="J119" s="358">
        <v>0</v>
      </c>
      <c r="K119" s="356">
        <f t="shared" si="3"/>
        <v>0</v>
      </c>
      <c r="N119" t="s">
        <v>914</v>
      </c>
    </row>
    <row r="120" spans="1:14" x14ac:dyDescent="0.25">
      <c r="A120" s="359" t="s">
        <v>416</v>
      </c>
      <c r="B120" t="s">
        <v>913</v>
      </c>
      <c r="C120" t="s">
        <v>913</v>
      </c>
      <c r="D120" s="358">
        <v>0</v>
      </c>
      <c r="E120" s="355">
        <v>0</v>
      </c>
      <c r="F120" s="358">
        <v>0</v>
      </c>
      <c r="G120" s="355">
        <v>0</v>
      </c>
      <c r="H120" s="358">
        <v>0</v>
      </c>
      <c r="I120" s="358"/>
      <c r="J120" s="358">
        <v>0</v>
      </c>
      <c r="K120" s="356">
        <f t="shared" si="3"/>
        <v>0</v>
      </c>
      <c r="N120" t="s">
        <v>916</v>
      </c>
    </row>
    <row r="121" spans="1:14" x14ac:dyDescent="0.25">
      <c r="A121" s="359" t="s">
        <v>1025</v>
      </c>
      <c r="B121" t="s">
        <v>1359</v>
      </c>
      <c r="C121" t="s">
        <v>1359</v>
      </c>
      <c r="D121" s="358">
        <v>0</v>
      </c>
      <c r="E121" s="355">
        <v>0</v>
      </c>
      <c r="F121" s="358">
        <v>0</v>
      </c>
      <c r="G121" s="355">
        <v>0</v>
      </c>
      <c r="H121" s="358">
        <v>330</v>
      </c>
      <c r="I121" s="358"/>
      <c r="J121" s="358">
        <v>330</v>
      </c>
      <c r="K121" s="356">
        <f t="shared" si="3"/>
        <v>0</v>
      </c>
      <c r="N121" t="s">
        <v>918</v>
      </c>
    </row>
    <row r="122" spans="1:14" x14ac:dyDescent="0.25">
      <c r="A122" s="359" t="s">
        <v>418</v>
      </c>
      <c r="B122" t="s">
        <v>1360</v>
      </c>
      <c r="C122" t="s">
        <v>1360</v>
      </c>
      <c r="D122" s="358">
        <v>390</v>
      </c>
      <c r="E122" s="355">
        <v>0</v>
      </c>
      <c r="F122" s="358">
        <v>420</v>
      </c>
      <c r="G122" s="355">
        <v>0</v>
      </c>
      <c r="H122" s="358">
        <v>0</v>
      </c>
      <c r="I122" s="358"/>
      <c r="J122" s="358">
        <v>810</v>
      </c>
      <c r="K122" s="356">
        <f t="shared" si="3"/>
        <v>0</v>
      </c>
      <c r="N122" t="s">
        <v>919</v>
      </c>
    </row>
    <row r="123" spans="1:14" x14ac:dyDescent="0.25">
      <c r="A123" s="359" t="s">
        <v>421</v>
      </c>
      <c r="B123">
        <v>205878</v>
      </c>
      <c r="C123" t="s">
        <v>914</v>
      </c>
      <c r="D123" s="358">
        <v>0</v>
      </c>
      <c r="E123" s="355">
        <v>0</v>
      </c>
      <c r="F123" s="358">
        <v>420</v>
      </c>
      <c r="G123" s="355">
        <v>0</v>
      </c>
      <c r="H123" s="358">
        <v>330</v>
      </c>
      <c r="I123" s="358"/>
      <c r="J123" s="358">
        <v>750</v>
      </c>
      <c r="K123" s="356">
        <f t="shared" si="3"/>
        <v>0</v>
      </c>
      <c r="N123" t="s">
        <v>920</v>
      </c>
    </row>
    <row r="124" spans="1:14" x14ac:dyDescent="0.25">
      <c r="A124" s="359" t="s">
        <v>915</v>
      </c>
      <c r="B124" t="s">
        <v>916</v>
      </c>
      <c r="C124" t="s">
        <v>916</v>
      </c>
      <c r="D124" s="358">
        <v>0</v>
      </c>
      <c r="E124" s="355">
        <v>0</v>
      </c>
      <c r="F124" s="358">
        <v>0</v>
      </c>
      <c r="G124" s="355">
        <v>0</v>
      </c>
      <c r="H124" s="358">
        <v>0</v>
      </c>
      <c r="I124" s="358"/>
      <c r="J124" s="358">
        <v>0</v>
      </c>
      <c r="K124" s="356">
        <f t="shared" si="3"/>
        <v>0</v>
      </c>
      <c r="N124" t="s">
        <v>921</v>
      </c>
    </row>
    <row r="125" spans="1:14" x14ac:dyDescent="0.25">
      <c r="A125" s="359" t="s">
        <v>917</v>
      </c>
      <c r="B125" t="s">
        <v>918</v>
      </c>
      <c r="C125" t="s">
        <v>918</v>
      </c>
      <c r="D125" s="358">
        <v>0</v>
      </c>
      <c r="E125" s="355">
        <v>0</v>
      </c>
      <c r="F125" s="358">
        <v>0</v>
      </c>
      <c r="G125" s="355">
        <v>0</v>
      </c>
      <c r="H125" s="358">
        <v>0</v>
      </c>
      <c r="I125" s="358"/>
      <c r="J125" s="358">
        <v>0</v>
      </c>
      <c r="K125" s="356">
        <f t="shared" si="3"/>
        <v>0</v>
      </c>
      <c r="N125" t="s">
        <v>679</v>
      </c>
    </row>
    <row r="126" spans="1:14" x14ac:dyDescent="0.25">
      <c r="A126" s="359" t="s">
        <v>423</v>
      </c>
      <c r="B126" t="s">
        <v>422</v>
      </c>
      <c r="C126" t="s">
        <v>919</v>
      </c>
      <c r="D126" s="358">
        <v>0</v>
      </c>
      <c r="E126" s="355">
        <v>0</v>
      </c>
      <c r="F126" s="358">
        <v>0</v>
      </c>
      <c r="G126" s="355">
        <v>0</v>
      </c>
      <c r="H126" s="358">
        <v>0</v>
      </c>
      <c r="I126" s="358"/>
      <c r="J126" s="358">
        <v>0</v>
      </c>
      <c r="K126" s="356">
        <f t="shared" si="3"/>
        <v>0</v>
      </c>
      <c r="N126" t="s">
        <v>922</v>
      </c>
    </row>
    <row r="127" spans="1:14" x14ac:dyDescent="0.25">
      <c r="A127" s="359" t="s">
        <v>425</v>
      </c>
      <c r="B127" t="s">
        <v>424</v>
      </c>
      <c r="C127" t="s">
        <v>920</v>
      </c>
      <c r="D127" s="358">
        <v>195</v>
      </c>
      <c r="E127" s="355">
        <v>0</v>
      </c>
      <c r="F127" s="358">
        <v>210</v>
      </c>
      <c r="G127" s="355">
        <v>0</v>
      </c>
      <c r="H127" s="358">
        <v>165</v>
      </c>
      <c r="I127" s="358"/>
      <c r="J127" s="358">
        <v>570</v>
      </c>
      <c r="K127" s="356">
        <f t="shared" si="3"/>
        <v>0</v>
      </c>
      <c r="N127" t="s">
        <v>923</v>
      </c>
    </row>
    <row r="128" spans="1:14" x14ac:dyDescent="0.25">
      <c r="A128" s="359" t="s">
        <v>426</v>
      </c>
      <c r="B128" t="s">
        <v>921</v>
      </c>
      <c r="C128" t="s">
        <v>921</v>
      </c>
      <c r="D128" s="358">
        <v>0</v>
      </c>
      <c r="E128" s="355">
        <v>0</v>
      </c>
      <c r="F128" s="358">
        <v>0</v>
      </c>
      <c r="G128" s="355">
        <v>0</v>
      </c>
      <c r="H128" s="358">
        <v>0</v>
      </c>
      <c r="I128" s="358"/>
      <c r="J128" s="358">
        <v>0</v>
      </c>
      <c r="K128" s="356">
        <f t="shared" si="3"/>
        <v>0</v>
      </c>
      <c r="N128" t="s">
        <v>681</v>
      </c>
    </row>
    <row r="129" spans="1:14" x14ac:dyDescent="0.25">
      <c r="A129" s="359" t="s">
        <v>427</v>
      </c>
      <c r="B129" t="s">
        <v>679</v>
      </c>
      <c r="C129" t="s">
        <v>679</v>
      </c>
      <c r="D129" s="358">
        <v>195</v>
      </c>
      <c r="E129" s="355">
        <v>0</v>
      </c>
      <c r="F129" s="358">
        <v>0</v>
      </c>
      <c r="G129" s="355">
        <v>0</v>
      </c>
      <c r="H129" s="358">
        <v>165</v>
      </c>
      <c r="I129" s="358"/>
      <c r="J129" s="358">
        <v>360</v>
      </c>
      <c r="K129" s="356">
        <f t="shared" si="3"/>
        <v>0</v>
      </c>
      <c r="N129" t="s">
        <v>924</v>
      </c>
    </row>
    <row r="130" spans="1:14" x14ac:dyDescent="0.25">
      <c r="A130" s="359" t="s">
        <v>431</v>
      </c>
      <c r="B130" t="s">
        <v>430</v>
      </c>
      <c r="C130" t="s">
        <v>922</v>
      </c>
      <c r="D130" s="358">
        <v>0</v>
      </c>
      <c r="E130" s="355">
        <v>0</v>
      </c>
      <c r="F130" s="358">
        <v>0</v>
      </c>
      <c r="G130" s="355">
        <v>0</v>
      </c>
      <c r="H130" s="358">
        <v>0</v>
      </c>
      <c r="I130" s="358"/>
      <c r="J130" s="358">
        <v>0</v>
      </c>
      <c r="K130" s="356">
        <f t="shared" si="3"/>
        <v>0</v>
      </c>
      <c r="N130" t="s">
        <v>925</v>
      </c>
    </row>
    <row r="131" spans="1:14" x14ac:dyDescent="0.25">
      <c r="A131" s="359" t="s">
        <v>433</v>
      </c>
      <c r="B131" t="s">
        <v>432</v>
      </c>
      <c r="C131" t="s">
        <v>923</v>
      </c>
      <c r="D131" s="358">
        <v>195</v>
      </c>
      <c r="E131" s="355">
        <v>0</v>
      </c>
      <c r="F131" s="358">
        <v>210</v>
      </c>
      <c r="G131" s="355">
        <v>0</v>
      </c>
      <c r="H131" s="358">
        <v>0</v>
      </c>
      <c r="I131" s="358"/>
      <c r="J131" s="358">
        <v>405</v>
      </c>
      <c r="K131" s="356">
        <f t="shared" si="3"/>
        <v>0</v>
      </c>
      <c r="N131" t="s">
        <v>926</v>
      </c>
    </row>
    <row r="132" spans="1:14" x14ac:dyDescent="0.25">
      <c r="A132" s="359" t="s">
        <v>435</v>
      </c>
      <c r="B132" t="s">
        <v>681</v>
      </c>
      <c r="C132" t="s">
        <v>681</v>
      </c>
      <c r="D132" s="358">
        <v>0</v>
      </c>
      <c r="E132" s="355">
        <v>0</v>
      </c>
      <c r="F132" s="358">
        <v>0</v>
      </c>
      <c r="G132" s="355">
        <v>0</v>
      </c>
      <c r="H132" s="358">
        <v>0</v>
      </c>
      <c r="I132" s="358"/>
      <c r="J132" s="358">
        <v>0</v>
      </c>
      <c r="K132" s="356">
        <f t="shared" si="3"/>
        <v>0</v>
      </c>
      <c r="N132" t="s">
        <v>927</v>
      </c>
    </row>
    <row r="133" spans="1:14" x14ac:dyDescent="0.25">
      <c r="A133" s="359" t="s">
        <v>437</v>
      </c>
      <c r="B133" t="s">
        <v>436</v>
      </c>
      <c r="C133" t="s">
        <v>924</v>
      </c>
      <c r="D133" s="358">
        <v>0</v>
      </c>
      <c r="E133" s="355">
        <v>0</v>
      </c>
      <c r="F133" s="358">
        <v>0</v>
      </c>
      <c r="G133" s="355">
        <v>0</v>
      </c>
      <c r="H133" s="358">
        <v>0</v>
      </c>
      <c r="I133" s="358"/>
      <c r="J133" s="358">
        <v>0</v>
      </c>
      <c r="K133" s="356">
        <f t="shared" ref="K133:K164" si="4">E133+G133+I133</f>
        <v>0</v>
      </c>
      <c r="N133" t="s">
        <v>928</v>
      </c>
    </row>
    <row r="134" spans="1:14" x14ac:dyDescent="0.25">
      <c r="A134" s="359" t="s">
        <v>441</v>
      </c>
      <c r="B134" t="s">
        <v>440</v>
      </c>
      <c r="C134" t="s">
        <v>925</v>
      </c>
      <c r="D134" s="358">
        <v>0</v>
      </c>
      <c r="E134" s="355">
        <v>0</v>
      </c>
      <c r="F134" s="358">
        <v>0</v>
      </c>
      <c r="G134" s="355">
        <v>0</v>
      </c>
      <c r="H134" s="358">
        <v>0</v>
      </c>
      <c r="I134" s="358"/>
      <c r="J134" s="358">
        <v>0</v>
      </c>
      <c r="K134" s="356">
        <f t="shared" si="4"/>
        <v>0</v>
      </c>
      <c r="N134" t="s">
        <v>929</v>
      </c>
    </row>
    <row r="135" spans="1:14" x14ac:dyDescent="0.25">
      <c r="A135" s="359" t="s">
        <v>443</v>
      </c>
      <c r="B135" t="s">
        <v>442</v>
      </c>
      <c r="C135" t="s">
        <v>926</v>
      </c>
      <c r="D135" s="358">
        <v>0</v>
      </c>
      <c r="E135" s="355">
        <v>0</v>
      </c>
      <c r="F135" s="358">
        <v>0</v>
      </c>
      <c r="G135" s="355">
        <v>0</v>
      </c>
      <c r="H135" s="358">
        <v>0</v>
      </c>
      <c r="I135" s="358"/>
      <c r="J135" s="358">
        <v>0</v>
      </c>
      <c r="K135" s="356">
        <f t="shared" si="4"/>
        <v>0</v>
      </c>
      <c r="N135" t="s">
        <v>930</v>
      </c>
    </row>
    <row r="136" spans="1:14" x14ac:dyDescent="0.25">
      <c r="A136" s="359" t="s">
        <v>445</v>
      </c>
      <c r="B136" t="s">
        <v>444</v>
      </c>
      <c r="C136" t="s">
        <v>927</v>
      </c>
      <c r="D136" s="358">
        <v>0</v>
      </c>
      <c r="E136" s="355">
        <v>0</v>
      </c>
      <c r="F136" s="358">
        <v>0</v>
      </c>
      <c r="G136" s="355">
        <v>0</v>
      </c>
      <c r="H136" s="358">
        <v>0</v>
      </c>
      <c r="I136" s="358"/>
      <c r="J136" s="358">
        <v>0</v>
      </c>
      <c r="K136" s="356">
        <f t="shared" si="4"/>
        <v>0</v>
      </c>
      <c r="N136" t="s">
        <v>931</v>
      </c>
    </row>
    <row r="137" spans="1:14" x14ac:dyDescent="0.25">
      <c r="A137" s="359" t="s">
        <v>446</v>
      </c>
      <c r="B137">
        <v>206046</v>
      </c>
      <c r="C137" t="s">
        <v>928</v>
      </c>
      <c r="D137" s="358">
        <v>0</v>
      </c>
      <c r="E137" s="355">
        <v>0</v>
      </c>
      <c r="F137" s="358">
        <v>0</v>
      </c>
      <c r="G137" s="355">
        <v>0</v>
      </c>
      <c r="H137" s="358">
        <v>0</v>
      </c>
      <c r="I137" s="358"/>
      <c r="J137" s="358">
        <v>0</v>
      </c>
      <c r="K137" s="356">
        <f t="shared" si="4"/>
        <v>0</v>
      </c>
      <c r="N137" t="s">
        <v>933</v>
      </c>
    </row>
    <row r="138" spans="1:14" x14ac:dyDescent="0.25">
      <c r="A138" s="359" t="s">
        <v>448</v>
      </c>
      <c r="B138" t="s">
        <v>929</v>
      </c>
      <c r="C138" t="s">
        <v>929</v>
      </c>
      <c r="D138" s="358">
        <v>0</v>
      </c>
      <c r="E138" s="355">
        <v>0</v>
      </c>
      <c r="F138" s="358">
        <v>0</v>
      </c>
      <c r="G138" s="355">
        <v>0</v>
      </c>
      <c r="H138" s="358">
        <v>0</v>
      </c>
      <c r="I138" s="358"/>
      <c r="J138" s="358">
        <v>0</v>
      </c>
      <c r="K138" s="356">
        <f t="shared" si="4"/>
        <v>0</v>
      </c>
      <c r="N138" t="s">
        <v>934</v>
      </c>
    </row>
    <row r="139" spans="1:14" x14ac:dyDescent="0.25">
      <c r="A139" s="359" t="s">
        <v>450</v>
      </c>
      <c r="B139" t="s">
        <v>449</v>
      </c>
      <c r="C139" t="s">
        <v>930</v>
      </c>
      <c r="D139" s="358">
        <v>0</v>
      </c>
      <c r="E139" s="355">
        <v>0</v>
      </c>
      <c r="F139" s="358">
        <v>0</v>
      </c>
      <c r="G139" s="355">
        <v>0</v>
      </c>
      <c r="H139" s="358">
        <v>0</v>
      </c>
      <c r="I139" s="358"/>
      <c r="J139" s="358">
        <v>0</v>
      </c>
      <c r="K139" s="356">
        <f t="shared" si="4"/>
        <v>0</v>
      </c>
      <c r="N139" t="s">
        <v>935</v>
      </c>
    </row>
    <row r="140" spans="1:14" x14ac:dyDescent="0.25">
      <c r="A140" s="359" t="s">
        <v>454</v>
      </c>
      <c r="B140">
        <v>205978</v>
      </c>
      <c r="C140" t="s">
        <v>931</v>
      </c>
      <c r="D140" s="358">
        <v>0</v>
      </c>
      <c r="E140" s="355">
        <v>0</v>
      </c>
      <c r="F140" s="358">
        <v>0</v>
      </c>
      <c r="G140" s="355">
        <v>0</v>
      </c>
      <c r="H140" s="358">
        <v>0</v>
      </c>
      <c r="I140" s="358"/>
      <c r="J140" s="358">
        <v>0</v>
      </c>
      <c r="K140" s="356">
        <f t="shared" si="4"/>
        <v>0</v>
      </c>
      <c r="N140" t="s">
        <v>936</v>
      </c>
    </row>
    <row r="141" spans="1:14" x14ac:dyDescent="0.25">
      <c r="A141" s="359" t="s">
        <v>932</v>
      </c>
      <c r="B141" t="s">
        <v>933</v>
      </c>
      <c r="C141" t="s">
        <v>933</v>
      </c>
      <c r="D141" s="358">
        <v>0</v>
      </c>
      <c r="E141" s="355">
        <v>0</v>
      </c>
      <c r="F141" s="358">
        <v>0</v>
      </c>
      <c r="G141" s="355">
        <v>0</v>
      </c>
      <c r="H141" s="358">
        <v>0</v>
      </c>
      <c r="I141" s="358"/>
      <c r="J141" s="358">
        <v>0</v>
      </c>
      <c r="K141" s="356">
        <f t="shared" si="4"/>
        <v>0</v>
      </c>
      <c r="N141" t="s">
        <v>937</v>
      </c>
    </row>
    <row r="142" spans="1:14" x14ac:dyDescent="0.25">
      <c r="A142" s="359" t="s">
        <v>457</v>
      </c>
      <c r="B142" t="s">
        <v>934</v>
      </c>
      <c r="C142" t="s">
        <v>934</v>
      </c>
      <c r="D142" s="358">
        <v>0</v>
      </c>
      <c r="E142" s="355">
        <v>0</v>
      </c>
      <c r="F142" s="358">
        <v>0</v>
      </c>
      <c r="G142" s="355">
        <v>0</v>
      </c>
      <c r="H142" s="358">
        <v>0</v>
      </c>
      <c r="I142" s="358"/>
      <c r="J142" s="358">
        <v>0</v>
      </c>
      <c r="K142" s="356">
        <f t="shared" si="4"/>
        <v>0</v>
      </c>
      <c r="N142" t="s">
        <v>938</v>
      </c>
    </row>
    <row r="143" spans="1:14" x14ac:dyDescent="0.25">
      <c r="A143" s="359" t="s">
        <v>458</v>
      </c>
      <c r="B143">
        <v>206043</v>
      </c>
      <c r="C143" t="s">
        <v>935</v>
      </c>
      <c r="D143" s="358">
        <v>234</v>
      </c>
      <c r="E143" s="355">
        <v>0</v>
      </c>
      <c r="F143" s="358">
        <v>350</v>
      </c>
      <c r="G143" s="355">
        <v>0</v>
      </c>
      <c r="H143" s="358">
        <v>253</v>
      </c>
      <c r="I143" s="358"/>
      <c r="J143" s="358">
        <v>837</v>
      </c>
      <c r="K143" s="356">
        <f t="shared" si="4"/>
        <v>0</v>
      </c>
      <c r="N143" t="s">
        <v>939</v>
      </c>
    </row>
    <row r="144" spans="1:14" x14ac:dyDescent="0.25">
      <c r="A144" s="359" t="s">
        <v>460</v>
      </c>
      <c r="B144" t="s">
        <v>459</v>
      </c>
      <c r="C144" t="s">
        <v>936</v>
      </c>
      <c r="D144" s="358">
        <v>0</v>
      </c>
      <c r="E144" s="355">
        <v>0</v>
      </c>
      <c r="F144" s="358">
        <v>0</v>
      </c>
      <c r="G144" s="355">
        <v>0</v>
      </c>
      <c r="H144" s="358">
        <v>0</v>
      </c>
      <c r="I144" s="358"/>
      <c r="J144" s="358">
        <v>0</v>
      </c>
      <c r="K144" s="356">
        <f t="shared" si="4"/>
        <v>0</v>
      </c>
      <c r="N144" t="s">
        <v>940</v>
      </c>
    </row>
    <row r="145" spans="1:14" x14ac:dyDescent="0.25">
      <c r="A145" s="359" t="s">
        <v>463</v>
      </c>
      <c r="B145" t="s">
        <v>462</v>
      </c>
      <c r="C145" t="s">
        <v>937</v>
      </c>
      <c r="D145" s="358">
        <v>0</v>
      </c>
      <c r="E145" s="355">
        <v>0</v>
      </c>
      <c r="F145" s="358">
        <v>0</v>
      </c>
      <c r="G145" s="355">
        <v>0</v>
      </c>
      <c r="H145" s="358">
        <v>0</v>
      </c>
      <c r="I145" s="358"/>
      <c r="J145" s="358">
        <v>0</v>
      </c>
      <c r="K145" s="356">
        <f t="shared" si="4"/>
        <v>0</v>
      </c>
      <c r="N145" t="s">
        <v>941</v>
      </c>
    </row>
    <row r="146" spans="1:14" x14ac:dyDescent="0.25">
      <c r="A146" s="359" t="s">
        <v>465</v>
      </c>
      <c r="B146" t="s">
        <v>464</v>
      </c>
      <c r="C146" t="s">
        <v>938</v>
      </c>
      <c r="D146" s="358">
        <v>195</v>
      </c>
      <c r="E146" s="355">
        <v>0</v>
      </c>
      <c r="F146" s="358">
        <v>210</v>
      </c>
      <c r="G146" s="355">
        <v>0</v>
      </c>
      <c r="H146" s="358">
        <v>0</v>
      </c>
      <c r="I146" s="358"/>
      <c r="J146" s="358">
        <v>405</v>
      </c>
      <c r="K146" s="356">
        <f t="shared" si="4"/>
        <v>0</v>
      </c>
      <c r="N146" t="s">
        <v>942</v>
      </c>
    </row>
    <row r="147" spans="1:14" x14ac:dyDescent="0.25">
      <c r="A147" s="359" t="s">
        <v>467</v>
      </c>
      <c r="B147" t="s">
        <v>466</v>
      </c>
      <c r="C147" t="s">
        <v>939</v>
      </c>
      <c r="D147" s="358">
        <v>0</v>
      </c>
      <c r="E147" s="355">
        <v>0</v>
      </c>
      <c r="F147" s="358">
        <v>0</v>
      </c>
      <c r="G147" s="355">
        <v>0</v>
      </c>
      <c r="H147" s="358">
        <v>0</v>
      </c>
      <c r="I147" s="358"/>
      <c r="J147" s="358">
        <v>0</v>
      </c>
      <c r="K147" s="356">
        <f t="shared" si="4"/>
        <v>0</v>
      </c>
      <c r="N147" t="s">
        <v>943</v>
      </c>
    </row>
    <row r="148" spans="1:14" x14ac:dyDescent="0.25">
      <c r="A148" s="359" t="s">
        <v>469</v>
      </c>
      <c r="B148" t="s">
        <v>468</v>
      </c>
      <c r="C148" t="s">
        <v>940</v>
      </c>
      <c r="D148" s="358">
        <v>0</v>
      </c>
      <c r="E148" s="355">
        <v>0</v>
      </c>
      <c r="F148" s="358">
        <v>0</v>
      </c>
      <c r="G148" s="355">
        <v>0</v>
      </c>
      <c r="H148" s="358">
        <v>0</v>
      </c>
      <c r="I148" s="358"/>
      <c r="J148" s="358">
        <v>0</v>
      </c>
      <c r="K148" s="356">
        <f t="shared" si="4"/>
        <v>0</v>
      </c>
      <c r="N148" t="s">
        <v>944</v>
      </c>
    </row>
    <row r="149" spans="1:14" x14ac:dyDescent="0.25">
      <c r="A149" s="359" t="s">
        <v>471</v>
      </c>
      <c r="B149" t="s">
        <v>470</v>
      </c>
      <c r="C149" t="s">
        <v>941</v>
      </c>
      <c r="D149" s="358">
        <v>0</v>
      </c>
      <c r="E149" s="355">
        <v>0</v>
      </c>
      <c r="F149" s="358">
        <v>0</v>
      </c>
      <c r="G149" s="355">
        <v>0</v>
      </c>
      <c r="H149" s="358">
        <v>0</v>
      </c>
      <c r="I149" s="358"/>
      <c r="J149" s="358">
        <v>0</v>
      </c>
      <c r="K149" s="356">
        <f t="shared" si="4"/>
        <v>0</v>
      </c>
      <c r="N149" t="s">
        <v>947</v>
      </c>
    </row>
    <row r="150" spans="1:14" x14ac:dyDescent="0.25">
      <c r="A150" s="359" t="s">
        <v>473</v>
      </c>
      <c r="B150" t="s">
        <v>472</v>
      </c>
      <c r="C150" t="s">
        <v>942</v>
      </c>
      <c r="D150" s="358">
        <v>0</v>
      </c>
      <c r="E150" s="355">
        <v>0</v>
      </c>
      <c r="F150" s="358">
        <v>0</v>
      </c>
      <c r="G150" s="355">
        <v>0</v>
      </c>
      <c r="H150" s="358">
        <v>0</v>
      </c>
      <c r="I150" s="358"/>
      <c r="J150" s="358">
        <v>0</v>
      </c>
      <c r="K150" s="356">
        <f t="shared" si="4"/>
        <v>0</v>
      </c>
      <c r="N150" t="s">
        <v>948</v>
      </c>
    </row>
    <row r="151" spans="1:14" x14ac:dyDescent="0.25">
      <c r="A151" s="359" t="s">
        <v>475</v>
      </c>
      <c r="B151" t="s">
        <v>474</v>
      </c>
      <c r="C151" t="s">
        <v>943</v>
      </c>
      <c r="D151" s="358">
        <v>377</v>
      </c>
      <c r="E151" s="355">
        <v>0</v>
      </c>
      <c r="F151" s="358">
        <v>0</v>
      </c>
      <c r="G151" s="355">
        <v>0</v>
      </c>
      <c r="H151" s="358">
        <v>412.5</v>
      </c>
      <c r="I151" s="358"/>
      <c r="J151" s="358">
        <v>789.5</v>
      </c>
      <c r="K151" s="356">
        <f t="shared" si="4"/>
        <v>0</v>
      </c>
      <c r="N151" t="s">
        <v>949</v>
      </c>
    </row>
    <row r="152" spans="1:14" x14ac:dyDescent="0.25">
      <c r="A152" s="359" t="s">
        <v>477</v>
      </c>
      <c r="B152" t="s">
        <v>476</v>
      </c>
      <c r="C152" t="s">
        <v>944</v>
      </c>
      <c r="D152" s="358">
        <v>0</v>
      </c>
      <c r="E152" s="355">
        <v>0</v>
      </c>
      <c r="F152" s="358">
        <v>210</v>
      </c>
      <c r="G152" s="355">
        <v>0</v>
      </c>
      <c r="H152" s="358">
        <v>165</v>
      </c>
      <c r="I152" s="358"/>
      <c r="J152" s="358">
        <v>375</v>
      </c>
      <c r="K152" s="356">
        <f t="shared" si="4"/>
        <v>0</v>
      </c>
      <c r="N152" t="s">
        <v>950</v>
      </c>
    </row>
    <row r="153" spans="1:14" x14ac:dyDescent="0.25">
      <c r="A153" s="359" t="s">
        <v>479</v>
      </c>
      <c r="B153" t="s">
        <v>478</v>
      </c>
      <c r="C153" t="s">
        <v>947</v>
      </c>
      <c r="D153" s="358">
        <v>0</v>
      </c>
      <c r="E153" s="355">
        <v>0</v>
      </c>
      <c r="F153" s="358">
        <v>0</v>
      </c>
      <c r="G153" s="355">
        <v>0</v>
      </c>
      <c r="H153" s="358">
        <v>0</v>
      </c>
      <c r="I153" s="358"/>
      <c r="J153" s="358">
        <v>0</v>
      </c>
      <c r="K153" s="356">
        <f t="shared" si="4"/>
        <v>0</v>
      </c>
      <c r="N153" t="s">
        <v>951</v>
      </c>
    </row>
    <row r="154" spans="1:14" x14ac:dyDescent="0.25">
      <c r="A154" s="359" t="s">
        <v>481</v>
      </c>
      <c r="B154" t="s">
        <v>480</v>
      </c>
      <c r="C154" t="s">
        <v>948</v>
      </c>
      <c r="D154" s="358">
        <v>884</v>
      </c>
      <c r="E154" s="355">
        <v>0</v>
      </c>
      <c r="F154" s="358">
        <v>504</v>
      </c>
      <c r="G154" s="355">
        <v>0</v>
      </c>
      <c r="H154" s="358">
        <v>770</v>
      </c>
      <c r="I154" s="358"/>
      <c r="J154" s="358">
        <v>2158</v>
      </c>
      <c r="K154" s="356">
        <f t="shared" si="4"/>
        <v>0</v>
      </c>
      <c r="N154" t="s">
        <v>952</v>
      </c>
    </row>
    <row r="155" spans="1:14" x14ac:dyDescent="0.25">
      <c r="A155" s="359" t="s">
        <v>483</v>
      </c>
      <c r="B155" t="s">
        <v>482</v>
      </c>
      <c r="C155" t="s">
        <v>949</v>
      </c>
      <c r="D155" s="358">
        <v>6630</v>
      </c>
      <c r="E155" s="355">
        <v>0</v>
      </c>
      <c r="F155" s="358">
        <v>7140</v>
      </c>
      <c r="G155" s="355">
        <v>0</v>
      </c>
      <c r="H155" s="358">
        <v>5610</v>
      </c>
      <c r="I155" s="358"/>
      <c r="J155" s="358">
        <v>19380</v>
      </c>
      <c r="K155" s="356">
        <f t="shared" si="4"/>
        <v>0</v>
      </c>
      <c r="N155" t="s">
        <v>953</v>
      </c>
    </row>
    <row r="156" spans="1:14" x14ac:dyDescent="0.25">
      <c r="A156" s="359" t="s">
        <v>485</v>
      </c>
      <c r="B156" t="s">
        <v>484</v>
      </c>
      <c r="C156" t="s">
        <v>950</v>
      </c>
      <c r="D156" s="358">
        <v>2145</v>
      </c>
      <c r="E156" s="355">
        <v>0</v>
      </c>
      <c r="F156" s="358">
        <v>0</v>
      </c>
      <c r="G156" s="355">
        <v>0</v>
      </c>
      <c r="H156" s="358">
        <v>2387</v>
      </c>
      <c r="I156" s="358"/>
      <c r="J156" s="358">
        <v>4532</v>
      </c>
      <c r="K156" s="356">
        <f t="shared" si="4"/>
        <v>0</v>
      </c>
      <c r="N156" t="s">
        <v>954</v>
      </c>
    </row>
    <row r="157" spans="1:14" x14ac:dyDescent="0.25">
      <c r="A157" s="359" t="s">
        <v>489</v>
      </c>
      <c r="B157" t="s">
        <v>488</v>
      </c>
      <c r="C157" t="s">
        <v>951</v>
      </c>
      <c r="D157" s="358">
        <v>0</v>
      </c>
      <c r="E157" s="355">
        <v>0</v>
      </c>
      <c r="F157" s="358">
        <v>0</v>
      </c>
      <c r="G157" s="355">
        <v>0</v>
      </c>
      <c r="H157" s="358">
        <v>0</v>
      </c>
      <c r="I157" s="358"/>
      <c r="J157" s="358">
        <v>0</v>
      </c>
      <c r="K157" s="356">
        <f t="shared" si="4"/>
        <v>0</v>
      </c>
      <c r="N157" t="s">
        <v>955</v>
      </c>
    </row>
    <row r="158" spans="1:14" x14ac:dyDescent="0.25">
      <c r="A158" s="359" t="s">
        <v>491</v>
      </c>
      <c r="B158" t="s">
        <v>490</v>
      </c>
      <c r="C158" t="s">
        <v>952</v>
      </c>
      <c r="D158" s="358">
        <v>1365</v>
      </c>
      <c r="E158" s="355">
        <v>0</v>
      </c>
      <c r="F158" s="358">
        <v>1050</v>
      </c>
      <c r="G158" s="355">
        <v>0</v>
      </c>
      <c r="H158" s="358">
        <v>660</v>
      </c>
      <c r="I158" s="358"/>
      <c r="J158" s="358">
        <v>3075</v>
      </c>
      <c r="K158" s="356">
        <f t="shared" si="4"/>
        <v>0</v>
      </c>
      <c r="N158" t="s">
        <v>956</v>
      </c>
    </row>
    <row r="159" spans="1:14" x14ac:dyDescent="0.25">
      <c r="A159" s="359" t="s">
        <v>492</v>
      </c>
      <c r="B159">
        <v>206106</v>
      </c>
      <c r="C159" t="s">
        <v>953</v>
      </c>
      <c r="D159" s="358">
        <v>1262.1426315789474</v>
      </c>
      <c r="E159" s="355">
        <v>0</v>
      </c>
      <c r="F159" s="358">
        <v>2151.5826315789473</v>
      </c>
      <c r="G159" s="355">
        <v>0</v>
      </c>
      <c r="H159" s="358">
        <v>1232.8713157894736</v>
      </c>
      <c r="I159" s="358"/>
      <c r="J159" s="358">
        <v>4646.5965789473685</v>
      </c>
      <c r="K159" s="356">
        <f t="shared" si="4"/>
        <v>0</v>
      </c>
      <c r="N159" t="s">
        <v>958</v>
      </c>
    </row>
    <row r="160" spans="1:14" x14ac:dyDescent="0.25">
      <c r="A160" s="359" t="s">
        <v>496</v>
      </c>
      <c r="B160" t="s">
        <v>495</v>
      </c>
      <c r="C160" t="s">
        <v>954</v>
      </c>
      <c r="D160" s="358">
        <v>3120</v>
      </c>
      <c r="E160" s="355">
        <v>0</v>
      </c>
      <c r="F160" s="358">
        <v>2520</v>
      </c>
      <c r="G160" s="355">
        <v>0</v>
      </c>
      <c r="H160" s="358">
        <v>2145</v>
      </c>
      <c r="I160" s="358"/>
      <c r="J160" s="358">
        <v>7785</v>
      </c>
      <c r="K160" s="356">
        <f t="shared" si="4"/>
        <v>0</v>
      </c>
      <c r="N160" t="s">
        <v>1029</v>
      </c>
    </row>
    <row r="161" spans="1:14" x14ac:dyDescent="0.25">
      <c r="A161" s="359" t="s">
        <v>498</v>
      </c>
      <c r="B161" t="s">
        <v>497</v>
      </c>
      <c r="C161" t="s">
        <v>955</v>
      </c>
      <c r="D161" s="358">
        <v>390</v>
      </c>
      <c r="E161" s="355">
        <v>0</v>
      </c>
      <c r="F161" s="358">
        <v>210</v>
      </c>
      <c r="G161" s="355">
        <v>0</v>
      </c>
      <c r="H161" s="358">
        <v>330</v>
      </c>
      <c r="I161" s="358"/>
      <c r="J161" s="358">
        <v>930</v>
      </c>
      <c r="K161" s="356">
        <f t="shared" si="4"/>
        <v>0</v>
      </c>
      <c r="N161" t="s">
        <v>959</v>
      </c>
    </row>
    <row r="162" spans="1:14" x14ac:dyDescent="0.25">
      <c r="A162" s="359" t="s">
        <v>500</v>
      </c>
      <c r="B162" t="s">
        <v>499</v>
      </c>
      <c r="C162" t="s">
        <v>956</v>
      </c>
      <c r="D162" s="358">
        <v>1361.921052631579</v>
      </c>
      <c r="E162" s="355">
        <v>0</v>
      </c>
      <c r="F162" s="358">
        <v>1799.3684210526317</v>
      </c>
      <c r="G162" s="355">
        <v>0</v>
      </c>
      <c r="H162" s="358">
        <v>1625.6842105263158</v>
      </c>
      <c r="I162" s="358"/>
      <c r="J162" s="358">
        <v>4786.9736842105267</v>
      </c>
      <c r="K162" s="356">
        <f t="shared" si="4"/>
        <v>0</v>
      </c>
      <c r="N162" t="s">
        <v>961</v>
      </c>
    </row>
    <row r="163" spans="1:14" x14ac:dyDescent="0.25">
      <c r="A163" s="359" t="s">
        <v>1027</v>
      </c>
      <c r="B163" t="s">
        <v>1339</v>
      </c>
      <c r="C163" t="s">
        <v>1339</v>
      </c>
      <c r="D163" s="358">
        <v>0</v>
      </c>
      <c r="E163" s="355">
        <v>0</v>
      </c>
      <c r="F163" s="358">
        <v>966</v>
      </c>
      <c r="G163" s="355">
        <v>0</v>
      </c>
      <c r="H163" s="358">
        <v>0</v>
      </c>
      <c r="I163" s="358"/>
      <c r="J163" s="358">
        <v>966</v>
      </c>
      <c r="K163" s="356">
        <f t="shared" si="4"/>
        <v>0</v>
      </c>
      <c r="N163" t="s">
        <v>962</v>
      </c>
    </row>
    <row r="164" spans="1:14" x14ac:dyDescent="0.25">
      <c r="A164" s="359" t="s">
        <v>1028</v>
      </c>
      <c r="B164" s="352" t="s">
        <v>1340</v>
      </c>
      <c r="C164" s="352" t="s">
        <v>1340</v>
      </c>
      <c r="D164" s="358">
        <v>1013.8871052631578</v>
      </c>
      <c r="E164" s="355">
        <v>0</v>
      </c>
      <c r="F164" s="358">
        <v>0</v>
      </c>
      <c r="G164" s="355">
        <v>0</v>
      </c>
      <c r="H164" s="358">
        <v>1187.8089473684211</v>
      </c>
      <c r="I164" s="358"/>
      <c r="J164" s="358">
        <v>2201.6960526315788</v>
      </c>
      <c r="K164" s="356">
        <f t="shared" si="4"/>
        <v>0</v>
      </c>
      <c r="N164" t="s">
        <v>963</v>
      </c>
    </row>
    <row r="165" spans="1:14" x14ac:dyDescent="0.25">
      <c r="A165" s="359" t="s">
        <v>501</v>
      </c>
      <c r="B165">
        <v>206134</v>
      </c>
      <c r="C165" t="s">
        <v>959</v>
      </c>
      <c r="D165" s="358">
        <v>195</v>
      </c>
      <c r="E165" s="355">
        <v>0</v>
      </c>
      <c r="F165" s="358">
        <v>0</v>
      </c>
      <c r="G165" s="355">
        <v>0</v>
      </c>
      <c r="H165" s="358">
        <v>165</v>
      </c>
      <c r="I165" s="358"/>
      <c r="J165" s="358">
        <v>360</v>
      </c>
      <c r="K165" s="356">
        <f t="shared" ref="K165:K180" si="5">E165+G165+I165</f>
        <v>0</v>
      </c>
      <c r="N165" t="s">
        <v>964</v>
      </c>
    </row>
    <row r="166" spans="1:14" x14ac:dyDescent="0.25">
      <c r="A166" s="359" t="s">
        <v>960</v>
      </c>
      <c r="B166" t="s">
        <v>961</v>
      </c>
      <c r="C166" t="s">
        <v>961</v>
      </c>
      <c r="D166" s="358">
        <v>0</v>
      </c>
      <c r="E166" s="355">
        <v>0</v>
      </c>
      <c r="F166" s="358">
        <v>0</v>
      </c>
      <c r="G166" s="355">
        <v>0</v>
      </c>
      <c r="H166" s="358">
        <v>0</v>
      </c>
      <c r="I166" s="358"/>
      <c r="J166" s="358">
        <v>0</v>
      </c>
      <c r="K166" s="356">
        <f t="shared" si="5"/>
        <v>0</v>
      </c>
      <c r="N166" t="s">
        <v>965</v>
      </c>
    </row>
    <row r="167" spans="1:14" x14ac:dyDescent="0.25">
      <c r="A167" s="359" t="s">
        <v>504</v>
      </c>
      <c r="B167">
        <v>206109</v>
      </c>
      <c r="C167" t="s">
        <v>962</v>
      </c>
      <c r="D167" s="358">
        <v>1169.9452631578949</v>
      </c>
      <c r="E167" s="355">
        <v>0</v>
      </c>
      <c r="F167" s="358">
        <v>2291.431578947369</v>
      </c>
      <c r="G167" s="355">
        <v>0</v>
      </c>
      <c r="H167" s="358">
        <v>990</v>
      </c>
      <c r="I167" s="358"/>
      <c r="J167" s="358">
        <v>4451.3768421052637</v>
      </c>
      <c r="K167" s="356">
        <f t="shared" si="5"/>
        <v>0</v>
      </c>
      <c r="N167" t="s">
        <v>967</v>
      </c>
    </row>
    <row r="168" spans="1:14" x14ac:dyDescent="0.25">
      <c r="A168" s="359" t="s">
        <v>514</v>
      </c>
      <c r="B168" t="s">
        <v>513</v>
      </c>
      <c r="C168" t="s">
        <v>963</v>
      </c>
      <c r="D168" s="358">
        <v>2925</v>
      </c>
      <c r="E168" s="355">
        <v>0</v>
      </c>
      <c r="F168" s="358">
        <v>3150</v>
      </c>
      <c r="G168" s="355">
        <v>0</v>
      </c>
      <c r="H168" s="358">
        <v>1980</v>
      </c>
      <c r="I168" s="358"/>
      <c r="J168" s="358">
        <v>8055</v>
      </c>
      <c r="K168" s="356">
        <f t="shared" si="5"/>
        <v>0</v>
      </c>
      <c r="N168" t="s">
        <v>968</v>
      </c>
    </row>
    <row r="169" spans="1:14" x14ac:dyDescent="0.25">
      <c r="A169" s="359" t="s">
        <v>1341</v>
      </c>
      <c r="B169" t="s">
        <v>1342</v>
      </c>
      <c r="C169" t="s">
        <v>1342</v>
      </c>
      <c r="D169" s="358">
        <v>0</v>
      </c>
      <c r="E169" s="355">
        <v>0</v>
      </c>
      <c r="F169" s="358">
        <v>209.87842105263155</v>
      </c>
      <c r="G169" s="355">
        <v>0</v>
      </c>
      <c r="H169" s="358">
        <v>0</v>
      </c>
      <c r="I169" s="358"/>
      <c r="J169" s="358">
        <v>209.87842105263155</v>
      </c>
      <c r="K169" s="356">
        <f t="shared" si="5"/>
        <v>0</v>
      </c>
      <c r="N169" t="s">
        <v>969</v>
      </c>
    </row>
    <row r="170" spans="1:14" x14ac:dyDescent="0.25">
      <c r="A170" s="359" t="s">
        <v>507</v>
      </c>
      <c r="B170" t="s">
        <v>506</v>
      </c>
      <c r="C170" t="s">
        <v>964</v>
      </c>
      <c r="D170" s="358">
        <v>2535</v>
      </c>
      <c r="E170" s="355">
        <v>0</v>
      </c>
      <c r="F170" s="358">
        <v>3780</v>
      </c>
      <c r="G170" s="355">
        <v>0</v>
      </c>
      <c r="H170" s="358">
        <v>2805</v>
      </c>
      <c r="I170" s="358"/>
      <c r="J170" s="358">
        <v>9120</v>
      </c>
      <c r="K170" s="356">
        <f t="shared" si="5"/>
        <v>0</v>
      </c>
      <c r="N170" t="s">
        <v>972</v>
      </c>
    </row>
    <row r="171" spans="1:14" x14ac:dyDescent="0.25">
      <c r="A171" s="359" t="s">
        <v>1361</v>
      </c>
      <c r="B171" t="s">
        <v>1344</v>
      </c>
      <c r="C171" t="s">
        <v>1344</v>
      </c>
      <c r="D171" s="358">
        <v>0</v>
      </c>
      <c r="E171" s="355">
        <v>0</v>
      </c>
      <c r="F171" s="358">
        <v>1470</v>
      </c>
      <c r="G171" s="355">
        <v>0</v>
      </c>
      <c r="H171" s="358">
        <v>0</v>
      </c>
      <c r="I171" s="358"/>
      <c r="J171" s="358">
        <v>1470</v>
      </c>
      <c r="K171" s="356">
        <f t="shared" si="5"/>
        <v>0</v>
      </c>
      <c r="N171" t="s">
        <v>973</v>
      </c>
    </row>
    <row r="172" spans="1:14" x14ac:dyDescent="0.25">
      <c r="A172" s="359" t="s">
        <v>509</v>
      </c>
      <c r="B172" t="s">
        <v>508</v>
      </c>
      <c r="C172" t="s">
        <v>965</v>
      </c>
      <c r="D172" s="358">
        <v>0</v>
      </c>
      <c r="E172" s="355">
        <v>0</v>
      </c>
      <c r="F172" s="358">
        <v>0</v>
      </c>
      <c r="G172" s="355">
        <v>0</v>
      </c>
      <c r="H172" s="358">
        <v>0</v>
      </c>
      <c r="I172" s="358"/>
      <c r="J172" s="358">
        <v>0</v>
      </c>
      <c r="K172" s="356">
        <f t="shared" si="5"/>
        <v>0</v>
      </c>
      <c r="N172" t="s">
        <v>974</v>
      </c>
    </row>
    <row r="173" spans="1:14" x14ac:dyDescent="0.25">
      <c r="A173" s="359" t="s">
        <v>966</v>
      </c>
      <c r="B173" t="s">
        <v>967</v>
      </c>
      <c r="C173" t="s">
        <v>967</v>
      </c>
      <c r="D173" s="358">
        <v>975</v>
      </c>
      <c r="E173" s="355">
        <v>0</v>
      </c>
      <c r="F173" s="358">
        <v>1259.8784210526314</v>
      </c>
      <c r="G173" s="355">
        <v>0</v>
      </c>
      <c r="H173" s="358">
        <v>825</v>
      </c>
      <c r="I173" s="358"/>
      <c r="J173" s="358">
        <v>3059.8784210526314</v>
      </c>
      <c r="K173" s="356">
        <f t="shared" si="5"/>
        <v>0</v>
      </c>
      <c r="N173" t="s">
        <v>975</v>
      </c>
    </row>
    <row r="174" spans="1:14" x14ac:dyDescent="0.25">
      <c r="A174" s="359" t="s">
        <v>511</v>
      </c>
      <c r="B174" t="s">
        <v>510</v>
      </c>
      <c r="C174" t="s">
        <v>968</v>
      </c>
      <c r="D174" s="358">
        <v>585</v>
      </c>
      <c r="E174" s="355">
        <v>0</v>
      </c>
      <c r="F174" s="358">
        <v>1259.8784210526314</v>
      </c>
      <c r="G174" s="355">
        <v>0</v>
      </c>
      <c r="H174" s="358">
        <v>495</v>
      </c>
      <c r="I174" s="358"/>
      <c r="J174" s="358">
        <v>2339.8784210526314</v>
      </c>
      <c r="K174" s="356">
        <f t="shared" si="5"/>
        <v>0</v>
      </c>
      <c r="N174" t="s">
        <v>976</v>
      </c>
    </row>
    <row r="175" spans="1:14" x14ac:dyDescent="0.25">
      <c r="A175" s="359" t="s">
        <v>512</v>
      </c>
      <c r="B175">
        <v>509197</v>
      </c>
      <c r="C175" t="s">
        <v>969</v>
      </c>
      <c r="D175" s="358">
        <v>351</v>
      </c>
      <c r="E175" s="355">
        <v>0</v>
      </c>
      <c r="F175" s="358">
        <v>378</v>
      </c>
      <c r="G175" s="355">
        <v>0</v>
      </c>
      <c r="H175" s="358">
        <v>297</v>
      </c>
      <c r="I175" s="358"/>
      <c r="J175" s="358">
        <v>1026</v>
      </c>
      <c r="K175" s="356">
        <f t="shared" si="5"/>
        <v>0</v>
      </c>
      <c r="N175" t="s">
        <v>977</v>
      </c>
    </row>
    <row r="176" spans="1:14" x14ac:dyDescent="0.25">
      <c r="A176" s="359" t="s">
        <v>516</v>
      </c>
      <c r="B176" t="s">
        <v>515</v>
      </c>
      <c r="C176" t="s">
        <v>972</v>
      </c>
      <c r="D176" s="358">
        <v>3510</v>
      </c>
      <c r="E176" s="355">
        <v>0</v>
      </c>
      <c r="F176" s="358">
        <v>2730</v>
      </c>
      <c r="G176" s="355">
        <v>0</v>
      </c>
      <c r="H176" s="358">
        <v>2475</v>
      </c>
      <c r="I176" s="358"/>
      <c r="J176" s="358">
        <v>8715</v>
      </c>
      <c r="K176" s="356">
        <f t="shared" si="5"/>
        <v>0</v>
      </c>
      <c r="N176" t="s">
        <v>978</v>
      </c>
    </row>
    <row r="177" spans="1:14" x14ac:dyDescent="0.25">
      <c r="A177" s="359" t="s">
        <v>517</v>
      </c>
      <c r="B177">
        <v>206117</v>
      </c>
      <c r="C177" t="s">
        <v>973</v>
      </c>
      <c r="D177" s="358">
        <v>0</v>
      </c>
      <c r="E177" s="355">
        <v>0</v>
      </c>
      <c r="F177" s="358">
        <v>210</v>
      </c>
      <c r="G177" s="355">
        <v>0</v>
      </c>
      <c r="H177" s="358">
        <v>0</v>
      </c>
      <c r="I177" s="358"/>
      <c r="J177" s="358">
        <v>210</v>
      </c>
      <c r="K177" s="356">
        <f t="shared" si="5"/>
        <v>0</v>
      </c>
      <c r="N177" t="s">
        <v>1031</v>
      </c>
    </row>
    <row r="178" spans="1:14" x14ac:dyDescent="0.25">
      <c r="A178" s="359" t="s">
        <v>518</v>
      </c>
      <c r="B178">
        <v>206141</v>
      </c>
      <c r="C178" t="s">
        <v>974</v>
      </c>
      <c r="D178" s="358">
        <v>195</v>
      </c>
      <c r="E178" s="355">
        <v>0</v>
      </c>
      <c r="F178" s="358">
        <v>609</v>
      </c>
      <c r="G178" s="355">
        <v>0</v>
      </c>
      <c r="H178" s="358">
        <v>0</v>
      </c>
      <c r="I178" s="358"/>
      <c r="J178" s="358">
        <v>804</v>
      </c>
      <c r="K178" s="356">
        <f t="shared" si="5"/>
        <v>0</v>
      </c>
      <c r="N178" t="s">
        <v>979</v>
      </c>
    </row>
    <row r="179" spans="1:14" x14ac:dyDescent="0.25">
      <c r="A179" s="359" t="s">
        <v>520</v>
      </c>
      <c r="B179" t="s">
        <v>519</v>
      </c>
      <c r="C179" t="s">
        <v>975</v>
      </c>
      <c r="D179" s="358">
        <v>0</v>
      </c>
      <c r="E179" s="355">
        <v>0</v>
      </c>
      <c r="F179" s="358">
        <v>0</v>
      </c>
      <c r="G179" s="355">
        <v>0</v>
      </c>
      <c r="H179" s="358">
        <v>0</v>
      </c>
      <c r="I179" s="358"/>
      <c r="J179" s="358">
        <v>0</v>
      </c>
      <c r="K179" s="356">
        <f t="shared" si="5"/>
        <v>0</v>
      </c>
      <c r="N179" t="s">
        <v>980</v>
      </c>
    </row>
    <row r="180" spans="1:14" x14ac:dyDescent="0.25">
      <c r="A180" s="359" t="s">
        <v>522</v>
      </c>
      <c r="B180" t="s">
        <v>521</v>
      </c>
      <c r="C180" t="s">
        <v>976</v>
      </c>
      <c r="D180" s="358">
        <v>762.84</v>
      </c>
      <c r="E180" s="355">
        <v>0</v>
      </c>
      <c r="F180" s="358">
        <v>630</v>
      </c>
      <c r="G180" s="355">
        <v>0</v>
      </c>
      <c r="H180" s="358">
        <v>480.50315789473683</v>
      </c>
      <c r="I180" s="358"/>
      <c r="J180" s="358">
        <v>1873.343157894737</v>
      </c>
      <c r="K180" s="356">
        <f t="shared" si="5"/>
        <v>0</v>
      </c>
      <c r="N180" t="s">
        <v>981</v>
      </c>
    </row>
    <row r="181" spans="1:14" x14ac:dyDescent="0.25">
      <c r="A181" s="359" t="s">
        <v>1030</v>
      </c>
      <c r="B181">
        <v>258408</v>
      </c>
      <c r="C181" t="s">
        <v>977</v>
      </c>
      <c r="D181" s="358">
        <v>3510</v>
      </c>
      <c r="E181" s="355">
        <v>0</v>
      </c>
      <c r="F181" s="358">
        <v>4410</v>
      </c>
      <c r="G181" s="355">
        <v>0</v>
      </c>
      <c r="H181" s="358">
        <v>2970</v>
      </c>
      <c r="I181" s="358"/>
      <c r="J181" s="358">
        <v>10890</v>
      </c>
      <c r="K181" s="356">
        <f t="shared" ref="K181:K207" si="6">E181+G181+I181</f>
        <v>0</v>
      </c>
      <c r="N181" t="s">
        <v>982</v>
      </c>
    </row>
    <row r="182" spans="1:14" x14ac:dyDescent="0.25">
      <c r="A182" s="359" t="s">
        <v>524</v>
      </c>
      <c r="B182">
        <v>258406</v>
      </c>
      <c r="C182" t="s">
        <v>978</v>
      </c>
      <c r="D182" s="358">
        <v>0</v>
      </c>
      <c r="E182" s="355">
        <v>0</v>
      </c>
      <c r="F182" s="358">
        <v>821.52</v>
      </c>
      <c r="G182" s="355">
        <v>0</v>
      </c>
      <c r="H182" s="358">
        <v>110</v>
      </c>
      <c r="I182" s="358"/>
      <c r="J182" s="358">
        <v>931.52</v>
      </c>
      <c r="K182" s="356"/>
      <c r="N182" t="s">
        <v>1033</v>
      </c>
    </row>
    <row r="183" spans="1:14" x14ac:dyDescent="0.25">
      <c r="A183" s="359" t="s">
        <v>523</v>
      </c>
      <c r="B183" t="s">
        <v>1031</v>
      </c>
      <c r="C183" t="s">
        <v>1031</v>
      </c>
      <c r="D183" s="358">
        <v>762.84000000000015</v>
      </c>
      <c r="E183" s="355">
        <v>0</v>
      </c>
      <c r="F183" s="358">
        <v>628.76210526315799</v>
      </c>
      <c r="G183" s="355">
        <v>0</v>
      </c>
      <c r="H183" s="358">
        <v>480.48000000000008</v>
      </c>
      <c r="I183" s="358"/>
      <c r="J183" s="358">
        <v>1872.0821052631582</v>
      </c>
      <c r="K183" s="356">
        <f t="shared" si="6"/>
        <v>0</v>
      </c>
      <c r="N183" t="s">
        <v>985</v>
      </c>
    </row>
    <row r="184" spans="1:14" x14ac:dyDescent="0.25">
      <c r="A184" s="359" t="s">
        <v>525</v>
      </c>
      <c r="B184" s="376" t="s">
        <v>979</v>
      </c>
      <c r="C184" s="376" t="s">
        <v>979</v>
      </c>
      <c r="D184" s="358">
        <v>1871.8871052631578</v>
      </c>
      <c r="E184" s="355">
        <v>0</v>
      </c>
      <c r="F184" s="358">
        <v>2267.8784210526314</v>
      </c>
      <c r="G184" s="355">
        <v>0</v>
      </c>
      <c r="H184" s="358">
        <v>2078.9044736842106</v>
      </c>
      <c r="I184" s="358"/>
      <c r="J184" s="358">
        <v>6218.67</v>
      </c>
      <c r="K184" s="356">
        <f t="shared" si="6"/>
        <v>0</v>
      </c>
      <c r="N184" t="s">
        <v>986</v>
      </c>
    </row>
    <row r="185" spans="1:14" x14ac:dyDescent="0.25">
      <c r="A185" s="359" t="s">
        <v>527</v>
      </c>
      <c r="B185" t="s">
        <v>526</v>
      </c>
      <c r="C185" t="s">
        <v>980</v>
      </c>
      <c r="D185" s="358">
        <v>585</v>
      </c>
      <c r="E185" s="355">
        <v>0</v>
      </c>
      <c r="F185" s="358">
        <v>840</v>
      </c>
      <c r="G185" s="355">
        <v>0</v>
      </c>
      <c r="H185" s="358">
        <v>825</v>
      </c>
      <c r="I185" s="358"/>
      <c r="J185" s="358">
        <v>2250</v>
      </c>
      <c r="K185" s="356">
        <f t="shared" si="6"/>
        <v>0</v>
      </c>
      <c r="N185" t="s">
        <v>987</v>
      </c>
    </row>
    <row r="186" spans="1:14" x14ac:dyDescent="0.25">
      <c r="A186" s="359" t="s">
        <v>528</v>
      </c>
      <c r="B186">
        <v>206146</v>
      </c>
      <c r="C186" t="s">
        <v>981</v>
      </c>
      <c r="D186" s="358">
        <v>780</v>
      </c>
      <c r="E186" s="355">
        <v>0</v>
      </c>
      <c r="F186" s="358">
        <v>630</v>
      </c>
      <c r="G186" s="355">
        <v>0</v>
      </c>
      <c r="H186" s="358">
        <v>990</v>
      </c>
      <c r="I186" s="358"/>
      <c r="J186" s="358">
        <v>2400</v>
      </c>
      <c r="K186" s="356">
        <f t="shared" si="6"/>
        <v>0</v>
      </c>
      <c r="N186" t="s">
        <v>988</v>
      </c>
    </row>
    <row r="187" spans="1:14" x14ac:dyDescent="0.25">
      <c r="A187" s="359" t="s">
        <v>530</v>
      </c>
      <c r="B187" t="s">
        <v>529</v>
      </c>
      <c r="C187" s="375" t="s">
        <v>982</v>
      </c>
      <c r="D187" s="358">
        <v>390</v>
      </c>
      <c r="E187" s="355">
        <v>0</v>
      </c>
      <c r="F187" s="358">
        <v>0</v>
      </c>
      <c r="G187" s="355">
        <v>0</v>
      </c>
      <c r="H187" s="358">
        <v>660</v>
      </c>
      <c r="I187" s="358"/>
      <c r="J187" s="358">
        <v>1050</v>
      </c>
      <c r="K187" s="356">
        <f t="shared" si="6"/>
        <v>0</v>
      </c>
      <c r="N187" t="s">
        <v>991</v>
      </c>
    </row>
    <row r="188" spans="1:14" x14ac:dyDescent="0.25">
      <c r="A188" s="359" t="s">
        <v>1032</v>
      </c>
      <c r="B188" s="377" t="s">
        <v>1345</v>
      </c>
      <c r="C188" s="377" t="s">
        <v>1345</v>
      </c>
      <c r="D188" s="358">
        <v>2340</v>
      </c>
      <c r="E188" s="355">
        <v>0</v>
      </c>
      <c r="F188" s="358">
        <v>3150</v>
      </c>
      <c r="G188" s="355">
        <v>0</v>
      </c>
      <c r="H188" s="358">
        <v>825</v>
      </c>
      <c r="I188" s="358"/>
      <c r="J188" s="358">
        <v>6315</v>
      </c>
      <c r="K188" s="356">
        <f t="shared" si="6"/>
        <v>0</v>
      </c>
      <c r="N188" t="s">
        <v>992</v>
      </c>
    </row>
    <row r="189" spans="1:14" x14ac:dyDescent="0.25">
      <c r="A189" s="359" t="s">
        <v>531</v>
      </c>
      <c r="B189">
        <v>2534321</v>
      </c>
      <c r="C189" t="s">
        <v>985</v>
      </c>
      <c r="D189" s="358">
        <v>2340</v>
      </c>
      <c r="E189" s="355">
        <v>0</v>
      </c>
      <c r="F189" s="358">
        <v>2519.8784210526314</v>
      </c>
      <c r="G189" s="355">
        <v>0</v>
      </c>
      <c r="H189" s="358">
        <v>2475</v>
      </c>
      <c r="I189" s="358"/>
      <c r="J189" s="358">
        <v>7334.8784210526319</v>
      </c>
      <c r="K189" s="356">
        <f t="shared" si="6"/>
        <v>0</v>
      </c>
      <c r="N189" t="s">
        <v>993</v>
      </c>
    </row>
    <row r="190" spans="1:14" x14ac:dyDescent="0.25">
      <c r="A190" s="359" t="s">
        <v>533</v>
      </c>
      <c r="B190" t="s">
        <v>532</v>
      </c>
      <c r="C190" t="s">
        <v>986</v>
      </c>
      <c r="D190" s="358">
        <v>195</v>
      </c>
      <c r="E190" s="355">
        <v>0</v>
      </c>
      <c r="F190" s="358">
        <v>797.87842105263155</v>
      </c>
      <c r="G190" s="355">
        <v>0</v>
      </c>
      <c r="H190" s="358">
        <v>0</v>
      </c>
      <c r="I190" s="358"/>
      <c r="J190" s="358">
        <v>992.87842105263155</v>
      </c>
      <c r="K190" s="356">
        <f t="shared" si="6"/>
        <v>0</v>
      </c>
      <c r="N190" t="s">
        <v>994</v>
      </c>
    </row>
    <row r="191" spans="1:14" x14ac:dyDescent="0.25">
      <c r="A191" s="359" t="s">
        <v>535</v>
      </c>
      <c r="B191" t="s">
        <v>534</v>
      </c>
      <c r="C191" t="s">
        <v>987</v>
      </c>
      <c r="D191" s="358">
        <v>2340</v>
      </c>
      <c r="E191" s="355">
        <v>0</v>
      </c>
      <c r="F191" s="358">
        <v>1680</v>
      </c>
      <c r="G191" s="355">
        <v>0</v>
      </c>
      <c r="H191" s="358">
        <v>1980</v>
      </c>
      <c r="I191" s="358"/>
      <c r="J191" s="358">
        <v>6000</v>
      </c>
      <c r="K191" s="356">
        <f t="shared" si="6"/>
        <v>0</v>
      </c>
      <c r="N191" t="s">
        <v>995</v>
      </c>
    </row>
    <row r="192" spans="1:14" x14ac:dyDescent="0.25">
      <c r="A192" s="359" t="s">
        <v>537</v>
      </c>
      <c r="B192" t="s">
        <v>536</v>
      </c>
      <c r="C192" t="s">
        <v>988</v>
      </c>
      <c r="D192" s="358">
        <v>2923.3065789473676</v>
      </c>
      <c r="E192" s="355">
        <v>0</v>
      </c>
      <c r="F192" s="358">
        <v>2308.8505263157895</v>
      </c>
      <c r="G192" s="355">
        <v>0</v>
      </c>
      <c r="H192" s="358">
        <v>2143.7581578947365</v>
      </c>
      <c r="I192" s="358"/>
      <c r="J192" s="358">
        <v>7375.9152631578936</v>
      </c>
      <c r="K192" s="356">
        <f t="shared" si="6"/>
        <v>0</v>
      </c>
      <c r="N192" t="s">
        <v>997</v>
      </c>
    </row>
    <row r="193" spans="1:14" x14ac:dyDescent="0.25">
      <c r="A193" s="359" t="s">
        <v>539</v>
      </c>
      <c r="B193" t="s">
        <v>538</v>
      </c>
      <c r="C193" t="s">
        <v>991</v>
      </c>
      <c r="D193" s="358">
        <v>1170</v>
      </c>
      <c r="E193" s="355">
        <v>0</v>
      </c>
      <c r="F193" s="358">
        <v>1890</v>
      </c>
      <c r="G193" s="355">
        <v>0</v>
      </c>
      <c r="H193" s="358">
        <v>1155</v>
      </c>
      <c r="I193" s="358"/>
      <c r="J193" s="358">
        <v>4215</v>
      </c>
      <c r="K193" s="356">
        <f t="shared" si="6"/>
        <v>0</v>
      </c>
      <c r="N193" t="s">
        <v>998</v>
      </c>
    </row>
    <row r="194" spans="1:14" x14ac:dyDescent="0.25">
      <c r="A194" s="359" t="s">
        <v>541</v>
      </c>
      <c r="B194" t="s">
        <v>540</v>
      </c>
      <c r="C194" t="s">
        <v>992</v>
      </c>
      <c r="D194" s="358">
        <v>2730</v>
      </c>
      <c r="E194" s="355">
        <v>0</v>
      </c>
      <c r="F194" s="358">
        <v>2436</v>
      </c>
      <c r="G194" s="355">
        <v>0</v>
      </c>
      <c r="H194" s="358">
        <v>1980</v>
      </c>
      <c r="I194" s="358"/>
      <c r="J194" s="358">
        <v>7146</v>
      </c>
      <c r="K194" s="356">
        <f t="shared" si="6"/>
        <v>0</v>
      </c>
      <c r="N194" t="s">
        <v>999</v>
      </c>
    </row>
    <row r="195" spans="1:14" x14ac:dyDescent="0.25">
      <c r="A195" s="359" t="s">
        <v>543</v>
      </c>
      <c r="B195" t="s">
        <v>542</v>
      </c>
      <c r="C195" t="s">
        <v>993</v>
      </c>
      <c r="D195" s="358">
        <v>780</v>
      </c>
      <c r="E195" s="355">
        <v>0</v>
      </c>
      <c r="F195" s="358">
        <v>0</v>
      </c>
      <c r="G195" s="355">
        <v>0</v>
      </c>
      <c r="H195" s="358">
        <v>1650</v>
      </c>
      <c r="I195" s="358"/>
      <c r="J195" s="358">
        <v>2430</v>
      </c>
      <c r="K195" s="356">
        <f t="shared" si="6"/>
        <v>0</v>
      </c>
      <c r="N195" t="s">
        <v>1000</v>
      </c>
    </row>
    <row r="196" spans="1:14" x14ac:dyDescent="0.25">
      <c r="A196" s="359" t="s">
        <v>545</v>
      </c>
      <c r="B196" t="s">
        <v>544</v>
      </c>
      <c r="C196" t="s">
        <v>994</v>
      </c>
      <c r="D196" s="358">
        <v>546</v>
      </c>
      <c r="E196" s="355">
        <v>0</v>
      </c>
      <c r="F196" s="358">
        <v>714</v>
      </c>
      <c r="G196" s="355">
        <v>0</v>
      </c>
      <c r="H196" s="358">
        <v>660</v>
      </c>
      <c r="I196" s="358"/>
      <c r="J196" s="358">
        <v>1920</v>
      </c>
      <c r="K196" s="356">
        <f t="shared" si="6"/>
        <v>0</v>
      </c>
      <c r="N196" t="s">
        <v>1001</v>
      </c>
    </row>
    <row r="197" spans="1:14" x14ac:dyDescent="0.25">
      <c r="A197" s="359" t="s">
        <v>547</v>
      </c>
      <c r="B197" t="s">
        <v>546</v>
      </c>
      <c r="C197" t="s">
        <v>995</v>
      </c>
      <c r="D197" s="358">
        <v>0</v>
      </c>
      <c r="E197" s="355">
        <v>0</v>
      </c>
      <c r="F197" s="358">
        <v>84</v>
      </c>
      <c r="G197" s="355">
        <v>0</v>
      </c>
      <c r="H197" s="358">
        <v>0</v>
      </c>
      <c r="I197" s="358"/>
      <c r="J197" s="358">
        <v>84</v>
      </c>
      <c r="K197" s="356">
        <f t="shared" si="6"/>
        <v>0</v>
      </c>
      <c r="N197" t="s">
        <v>1002</v>
      </c>
    </row>
    <row r="198" spans="1:14" x14ac:dyDescent="0.25">
      <c r="A198" s="359" t="s">
        <v>996</v>
      </c>
      <c r="B198" t="s">
        <v>997</v>
      </c>
      <c r="C198" t="s">
        <v>997</v>
      </c>
      <c r="D198" s="358">
        <v>975</v>
      </c>
      <c r="E198" s="355">
        <v>0</v>
      </c>
      <c r="F198" s="358">
        <v>840</v>
      </c>
      <c r="G198" s="355">
        <v>0</v>
      </c>
      <c r="H198" s="358">
        <v>1122</v>
      </c>
      <c r="I198" s="358"/>
      <c r="J198" s="358">
        <v>2937</v>
      </c>
      <c r="K198" s="356">
        <f t="shared" si="6"/>
        <v>0</v>
      </c>
      <c r="N198" t="s">
        <v>1003</v>
      </c>
    </row>
    <row r="199" spans="1:14" x14ac:dyDescent="0.25">
      <c r="A199" s="359" t="s">
        <v>550</v>
      </c>
      <c r="B199" t="s">
        <v>549</v>
      </c>
      <c r="C199" t="s">
        <v>998</v>
      </c>
      <c r="D199" s="358">
        <v>715</v>
      </c>
      <c r="E199" s="355">
        <v>0</v>
      </c>
      <c r="F199" s="358">
        <v>629.97052631578947</v>
      </c>
      <c r="G199" s="355">
        <v>0</v>
      </c>
      <c r="H199" s="358">
        <v>880</v>
      </c>
      <c r="I199" s="358"/>
      <c r="J199" s="358">
        <v>2224.9705263157894</v>
      </c>
      <c r="K199" s="356">
        <f t="shared" si="6"/>
        <v>0</v>
      </c>
      <c r="N199" t="s">
        <v>1004</v>
      </c>
    </row>
    <row r="200" spans="1:14" x14ac:dyDescent="0.25">
      <c r="A200" s="359" t="s">
        <v>551</v>
      </c>
      <c r="B200" t="s">
        <v>999</v>
      </c>
      <c r="C200" t="s">
        <v>999</v>
      </c>
      <c r="D200" s="358">
        <v>3119.8871052631575</v>
      </c>
      <c r="E200" s="355">
        <v>0</v>
      </c>
      <c r="F200" s="358">
        <v>3149.5136842105262</v>
      </c>
      <c r="G200" s="355">
        <v>0</v>
      </c>
      <c r="H200" s="358">
        <v>2292.6315789473683</v>
      </c>
      <c r="I200" s="358"/>
      <c r="J200" s="358">
        <v>8562.0323684210525</v>
      </c>
      <c r="K200" s="356">
        <f t="shared" si="6"/>
        <v>0</v>
      </c>
      <c r="N200" t="s">
        <v>1005</v>
      </c>
    </row>
    <row r="201" spans="1:14" x14ac:dyDescent="0.25">
      <c r="A201" s="359" t="s">
        <v>553</v>
      </c>
      <c r="B201" t="s">
        <v>552</v>
      </c>
      <c r="C201" t="s">
        <v>1000</v>
      </c>
      <c r="D201" s="358">
        <v>390</v>
      </c>
      <c r="E201" s="355">
        <v>0</v>
      </c>
      <c r="F201" s="358">
        <v>210</v>
      </c>
      <c r="G201" s="355">
        <v>0</v>
      </c>
      <c r="H201" s="358">
        <v>330</v>
      </c>
      <c r="I201" s="358"/>
      <c r="J201" s="358">
        <v>930</v>
      </c>
      <c r="K201" s="356">
        <f t="shared" si="6"/>
        <v>0</v>
      </c>
      <c r="N201" t="s">
        <v>1007</v>
      </c>
    </row>
    <row r="202" spans="1:14" x14ac:dyDescent="0.25">
      <c r="A202" s="359" t="s">
        <v>554</v>
      </c>
      <c r="B202">
        <v>206103</v>
      </c>
      <c r="C202" t="s">
        <v>1001</v>
      </c>
      <c r="D202" s="358">
        <v>0</v>
      </c>
      <c r="E202" s="355">
        <v>0</v>
      </c>
      <c r="F202" s="358">
        <v>420</v>
      </c>
      <c r="G202" s="355">
        <v>0</v>
      </c>
      <c r="H202" s="358">
        <v>231</v>
      </c>
      <c r="I202" s="358"/>
      <c r="J202" s="358">
        <v>651</v>
      </c>
      <c r="K202" s="356">
        <f t="shared" si="6"/>
        <v>0</v>
      </c>
      <c r="N202" t="s">
        <v>1008</v>
      </c>
    </row>
    <row r="203" spans="1:14" x14ac:dyDescent="0.25">
      <c r="A203" s="359" t="s">
        <v>555</v>
      </c>
      <c r="B203">
        <v>2614882</v>
      </c>
      <c r="C203" t="s">
        <v>1002</v>
      </c>
      <c r="D203" s="358">
        <v>779.77421052631576</v>
      </c>
      <c r="E203" s="355">
        <v>0</v>
      </c>
      <c r="F203" s="358">
        <v>1509.4247368421052</v>
      </c>
      <c r="G203" s="355">
        <v>0</v>
      </c>
      <c r="H203" s="358">
        <v>659.80894736842095</v>
      </c>
      <c r="I203" s="358"/>
      <c r="J203" s="358">
        <v>2949.0078947368415</v>
      </c>
      <c r="K203" s="356">
        <f t="shared" si="6"/>
        <v>0</v>
      </c>
      <c r="N203" t="s">
        <v>1009</v>
      </c>
    </row>
    <row r="204" spans="1:14" x14ac:dyDescent="0.25">
      <c r="A204" s="359" t="s">
        <v>557</v>
      </c>
      <c r="B204" t="s">
        <v>556</v>
      </c>
      <c r="C204" t="s">
        <v>1003</v>
      </c>
      <c r="D204" s="358">
        <v>2112.5</v>
      </c>
      <c r="E204" s="355">
        <v>0</v>
      </c>
      <c r="F204" s="358">
        <v>210</v>
      </c>
      <c r="G204" s="355">
        <v>0</v>
      </c>
      <c r="H204" s="358">
        <v>1969</v>
      </c>
      <c r="I204" s="358"/>
      <c r="J204" s="358">
        <v>4291.5</v>
      </c>
      <c r="K204" s="356">
        <f t="shared" si="6"/>
        <v>0</v>
      </c>
      <c r="N204" t="s">
        <v>1010</v>
      </c>
    </row>
    <row r="205" spans="1:14" x14ac:dyDescent="0.25">
      <c r="A205" s="359" t="s">
        <v>560</v>
      </c>
      <c r="B205">
        <v>2498864</v>
      </c>
      <c r="C205" t="s">
        <v>1004</v>
      </c>
      <c r="D205" s="358">
        <v>390</v>
      </c>
      <c r="E205" s="355">
        <v>0</v>
      </c>
      <c r="F205" s="358">
        <v>770</v>
      </c>
      <c r="G205" s="355">
        <v>0</v>
      </c>
      <c r="H205" s="358">
        <v>165</v>
      </c>
      <c r="I205" s="358"/>
      <c r="J205" s="358">
        <v>1325</v>
      </c>
      <c r="K205" s="356">
        <f t="shared" si="6"/>
        <v>0</v>
      </c>
      <c r="N205" t="s">
        <v>1011</v>
      </c>
    </row>
    <row r="206" spans="1:14" x14ac:dyDescent="0.25">
      <c r="A206" s="359" t="s">
        <v>562</v>
      </c>
      <c r="B206" t="s">
        <v>561</v>
      </c>
      <c r="C206" t="s">
        <v>1005</v>
      </c>
      <c r="D206" s="358">
        <v>2535</v>
      </c>
      <c r="E206" s="355">
        <v>0</v>
      </c>
      <c r="F206" s="358">
        <v>2054.6842105263158</v>
      </c>
      <c r="G206" s="355">
        <v>0</v>
      </c>
      <c r="H206" s="358">
        <v>1980</v>
      </c>
      <c r="I206" s="358"/>
      <c r="J206" s="358">
        <v>6569.6842105263158</v>
      </c>
      <c r="K206" s="356">
        <f t="shared" si="6"/>
        <v>0</v>
      </c>
      <c r="N206" t="s">
        <v>1012</v>
      </c>
    </row>
    <row r="207" spans="1:14" x14ac:dyDescent="0.25">
      <c r="A207" s="359" t="s">
        <v>1006</v>
      </c>
      <c r="B207" t="s">
        <v>1007</v>
      </c>
      <c r="C207" t="s">
        <v>1007</v>
      </c>
      <c r="D207" s="358">
        <v>195</v>
      </c>
      <c r="E207" s="355">
        <v>0</v>
      </c>
      <c r="F207" s="358">
        <v>1024.2105263157896</v>
      </c>
      <c r="G207" s="355">
        <v>0</v>
      </c>
      <c r="H207" s="358">
        <v>330</v>
      </c>
      <c r="I207" s="358"/>
      <c r="J207" s="358">
        <v>1549.2105263157896</v>
      </c>
      <c r="K207" s="356">
        <f t="shared" si="6"/>
        <v>0</v>
      </c>
      <c r="N207" t="s">
        <v>1013</v>
      </c>
    </row>
    <row r="208" spans="1:14" ht="15" thickBot="1" x14ac:dyDescent="0.4">
      <c r="A208" s="359" t="s">
        <v>565</v>
      </c>
      <c r="B208" t="s">
        <v>564</v>
      </c>
      <c r="C208" t="s">
        <v>1008</v>
      </c>
      <c r="D208" s="358">
        <v>389.93157894736839</v>
      </c>
      <c r="E208" s="355">
        <v>0</v>
      </c>
      <c r="F208" s="358">
        <v>209.87842105263155</v>
      </c>
      <c r="G208" s="355">
        <v>0</v>
      </c>
      <c r="H208" s="358">
        <v>659.67057894736843</v>
      </c>
      <c r="I208" s="358"/>
      <c r="J208" s="358">
        <v>1259.4805789473685</v>
      </c>
      <c r="K208" s="363">
        <f>E208+G208+I208</f>
        <v>0</v>
      </c>
      <c r="L208" s="343"/>
      <c r="M208" s="374"/>
      <c r="N208">
        <v>0</v>
      </c>
    </row>
    <row r="209" spans="1:14" ht="15.5" thickTop="1" thickBot="1" x14ac:dyDescent="0.4">
      <c r="A209" s="359" t="s">
        <v>567</v>
      </c>
      <c r="B209" t="s">
        <v>566</v>
      </c>
      <c r="C209" t="s">
        <v>1009</v>
      </c>
      <c r="D209" s="358">
        <v>1170</v>
      </c>
      <c r="E209" s="355">
        <v>0</v>
      </c>
      <c r="F209" s="358">
        <v>1260</v>
      </c>
      <c r="G209" s="355">
        <v>0</v>
      </c>
      <c r="H209" s="358">
        <v>1650</v>
      </c>
      <c r="I209" s="358"/>
      <c r="J209" s="358">
        <v>4080</v>
      </c>
      <c r="K209" s="363">
        <f t="shared" ref="K209" si="7">(K208/12)/15</f>
        <v>0</v>
      </c>
      <c r="L209" s="343"/>
      <c r="M209" s="374"/>
    </row>
    <row r="210" spans="1:14" ht="13" thickTop="1" x14ac:dyDescent="0.25">
      <c r="A210" s="359" t="s">
        <v>569</v>
      </c>
      <c r="B210" t="s">
        <v>568</v>
      </c>
      <c r="C210" t="s">
        <v>1010</v>
      </c>
      <c r="D210" s="358">
        <v>195.06157894736839</v>
      </c>
      <c r="E210" s="355">
        <v>0</v>
      </c>
      <c r="F210" s="358">
        <v>279.83789473684209</v>
      </c>
      <c r="G210" s="355">
        <v>0</v>
      </c>
      <c r="H210" s="358">
        <v>164.72847368421054</v>
      </c>
      <c r="I210" s="358"/>
      <c r="J210" s="358">
        <v>639.62794736842102</v>
      </c>
      <c r="N210">
        <v>0</v>
      </c>
    </row>
    <row r="211" spans="1:14" x14ac:dyDescent="0.25">
      <c r="A211" s="359" t="s">
        <v>570</v>
      </c>
      <c r="B211">
        <v>2568273</v>
      </c>
      <c r="C211" t="s">
        <v>1011</v>
      </c>
      <c r="D211" s="358">
        <v>2067</v>
      </c>
      <c r="E211" s="355">
        <v>0</v>
      </c>
      <c r="F211" s="358">
        <v>2058</v>
      </c>
      <c r="G211" s="355">
        <v>0</v>
      </c>
      <c r="H211" s="358">
        <v>2244</v>
      </c>
      <c r="I211" s="358"/>
      <c r="J211" s="358">
        <v>6369</v>
      </c>
      <c r="N211">
        <v>0</v>
      </c>
    </row>
    <row r="212" spans="1:14" x14ac:dyDescent="0.25">
      <c r="A212" s="359" t="s">
        <v>571</v>
      </c>
      <c r="B212">
        <v>509204</v>
      </c>
      <c r="C212" t="s">
        <v>1012</v>
      </c>
      <c r="D212" s="358">
        <v>584.66131578947363</v>
      </c>
      <c r="E212" s="355">
        <v>0</v>
      </c>
      <c r="F212" s="358">
        <v>419.7568421052631</v>
      </c>
      <c r="G212" s="355">
        <v>0</v>
      </c>
      <c r="H212" s="358">
        <v>164.9044736842105</v>
      </c>
      <c r="I212" s="358"/>
      <c r="J212" s="358">
        <v>1169.3226315789473</v>
      </c>
    </row>
    <row r="213" spans="1:14" x14ac:dyDescent="0.25">
      <c r="A213" s="359" t="s">
        <v>573</v>
      </c>
      <c r="B213" t="s">
        <v>572</v>
      </c>
      <c r="C213" t="s">
        <v>1013</v>
      </c>
      <c r="D213" s="358">
        <v>0</v>
      </c>
      <c r="E213" s="355">
        <v>0</v>
      </c>
      <c r="F213" s="358">
        <v>0</v>
      </c>
      <c r="G213" s="355">
        <v>0</v>
      </c>
      <c r="H213" s="358">
        <v>0</v>
      </c>
      <c r="I213" s="358"/>
      <c r="J213" s="358">
        <v>0</v>
      </c>
    </row>
    <row r="214" spans="1:14" ht="15" thickBot="1" x14ac:dyDescent="0.4">
      <c r="A214" s="342" t="s">
        <v>601</v>
      </c>
      <c r="B214" s="343"/>
      <c r="C214" s="343"/>
      <c r="D214" s="365">
        <v>118133.03210526315</v>
      </c>
      <c r="E214" s="362">
        <v>0</v>
      </c>
      <c r="F214" s="365">
        <v>133078.90842105262</v>
      </c>
      <c r="G214" s="362">
        <v>0</v>
      </c>
      <c r="H214" s="365">
        <v>101352.68405263158</v>
      </c>
      <c r="I214" s="365">
        <v>0</v>
      </c>
      <c r="J214" s="365">
        <v>352564.62457894732</v>
      </c>
    </row>
    <row r="215" spans="1:14" ht="15.5" thickTop="1" thickBot="1" x14ac:dyDescent="0.4">
      <c r="A215" s="342" t="s">
        <v>1014</v>
      </c>
      <c r="B215" s="343"/>
      <c r="C215" s="343"/>
      <c r="D215" s="371">
        <v>605.81042105263145</v>
      </c>
      <c r="E215" s="362">
        <v>0</v>
      </c>
      <c r="F215" s="371">
        <v>633.70908771929817</v>
      </c>
      <c r="G215" s="362">
        <v>0</v>
      </c>
      <c r="H215" s="371">
        <v>614.25869122807012</v>
      </c>
      <c r="I215" s="371">
        <v>0</v>
      </c>
      <c r="J215" s="371">
        <v>618.53442908587249</v>
      </c>
    </row>
    <row r="216" spans="1:14" ht="13" thickTop="1" x14ac:dyDescent="0.25">
      <c r="D216" s="379"/>
      <c r="F216" s="378"/>
      <c r="G216" s="378"/>
      <c r="H216" s="378"/>
    </row>
    <row r="217" spans="1:14" ht="13" thickBot="1" x14ac:dyDescent="0.3">
      <c r="D217" s="379"/>
      <c r="F217" s="378"/>
      <c r="G217" s="378"/>
      <c r="H217" s="378"/>
    </row>
    <row r="218" spans="1:14" ht="43.5" x14ac:dyDescent="0.35">
      <c r="F218" s="380">
        <v>127241.57567537522</v>
      </c>
      <c r="H218" s="333" t="s">
        <v>1034</v>
      </c>
      <c r="J218" s="381">
        <v>408262.5</v>
      </c>
    </row>
    <row r="219" spans="1:14" ht="58.5" thickBot="1" x14ac:dyDescent="0.4">
      <c r="C219" s="374"/>
      <c r="E219" s="382"/>
      <c r="F219" s="382"/>
      <c r="G219" s="382"/>
      <c r="H219" s="383" t="s">
        <v>756</v>
      </c>
      <c r="J219" s="384">
        <v>55697.875421052682</v>
      </c>
    </row>
    <row r="220" spans="1:14" ht="14.5" x14ac:dyDescent="0.35">
      <c r="C220" s="374"/>
      <c r="E220" s="382"/>
      <c r="F220" s="382"/>
      <c r="G220" s="382"/>
      <c r="H220" s="382"/>
      <c r="I220" s="382"/>
      <c r="J220" s="382"/>
    </row>
    <row r="221" spans="1:14" ht="14.5" x14ac:dyDescent="0.35">
      <c r="C221" s="374"/>
      <c r="D221" s="382"/>
      <c r="E221" s="382"/>
      <c r="F221" s="382"/>
      <c r="G221" s="382"/>
      <c r="H221" s="382"/>
      <c r="I221" s="382"/>
      <c r="J221" s="382"/>
    </row>
    <row r="222" spans="1:14" ht="14.5" x14ac:dyDescent="0.35">
      <c r="C222" s="385"/>
      <c r="D222" s="382"/>
      <c r="E222" s="382"/>
      <c r="F222" s="382"/>
      <c r="G222" s="382"/>
      <c r="H222" s="382"/>
      <c r="I222" s="382"/>
      <c r="J222" s="382"/>
    </row>
    <row r="223" spans="1:14" ht="14.5" x14ac:dyDescent="0.35">
      <c r="C223" s="385"/>
      <c r="D223" s="386"/>
      <c r="E223" s="386"/>
      <c r="F223" s="386"/>
      <c r="G223" s="386"/>
      <c r="H223" s="386"/>
      <c r="I223" s="386"/>
      <c r="J223" s="386"/>
    </row>
  </sheetData>
  <autoFilter ref="A4:N219" xr:uid="{BCAB18CF-DD97-4437-9FCF-1F59EEE79AF2}"/>
  <mergeCells count="1">
    <mergeCell ref="D3:K3"/>
  </mergeCells>
  <conditionalFormatting sqref="B1:B60 B62:B1048576">
    <cfRule type="duplicateValues" dxfId="15" priority="2"/>
  </conditionalFormatting>
  <conditionalFormatting sqref="B61">
    <cfRule type="duplicateValues" dxfId="14" priority="1"/>
  </conditionalFormatting>
  <conditionalFormatting sqref="B188">
    <cfRule type="containsBlanks" dxfId="13" priority="3">
      <formula>LEN(TRIM(B188))=0</formula>
    </cfRule>
  </conditionalFormatting>
  <conditionalFormatting sqref="B184:C184">
    <cfRule type="containsBlanks" dxfId="12" priority="5">
      <formula>LEN(TRIM(B184))=0</formula>
    </cfRule>
  </conditionalFormatting>
  <conditionalFormatting sqref="C187:C188">
    <cfRule type="containsBlanks" dxfId="11" priority="4">
      <formula>LEN(TRIM(C187))=0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5CD8-698C-45ED-B978-1AE5DA95019C}">
  <sheetPr codeName="Sheet17">
    <tabColor rgb="FF7030A0"/>
  </sheetPr>
  <dimension ref="A1:N230"/>
  <sheetViews>
    <sheetView topLeftCell="A34" workbookViewId="0">
      <selection activeCell="B60" sqref="B60"/>
    </sheetView>
  </sheetViews>
  <sheetFormatPr defaultRowHeight="12.5" x14ac:dyDescent="0.25"/>
  <cols>
    <col min="1" max="1" width="49.81640625" customWidth="1"/>
    <col min="5" max="5" width="0" hidden="1" customWidth="1"/>
    <col min="7" max="7" width="0" hidden="1" customWidth="1"/>
    <col min="9" max="9" width="0" hidden="1" customWidth="1"/>
    <col min="11" max="11" width="0" hidden="1" customWidth="1"/>
  </cols>
  <sheetData>
    <row r="1" spans="1:14" ht="18.5" x14ac:dyDescent="0.45">
      <c r="A1" s="326" t="s">
        <v>777</v>
      </c>
    </row>
    <row r="2" spans="1:14" ht="13" thickBot="1" x14ac:dyDescent="0.3"/>
    <row r="3" spans="1:14" ht="15" thickBot="1" x14ac:dyDescent="0.4">
      <c r="D3" s="807" t="s">
        <v>779</v>
      </c>
      <c r="E3" s="808"/>
      <c r="F3" s="808"/>
      <c r="G3" s="808"/>
      <c r="H3" s="808"/>
      <c r="I3" s="808"/>
      <c r="J3" s="808"/>
      <c r="K3" s="808"/>
      <c r="L3" s="359"/>
    </row>
    <row r="4" spans="1:14" ht="102" thickBot="1" x14ac:dyDescent="0.4">
      <c r="A4" s="330" t="s">
        <v>1</v>
      </c>
      <c r="B4" s="331" t="s">
        <v>595</v>
      </c>
      <c r="C4" s="332" t="s">
        <v>780</v>
      </c>
      <c r="D4" s="387" t="s">
        <v>782</v>
      </c>
      <c r="E4" s="334" t="s">
        <v>784</v>
      </c>
      <c r="F4" s="387" t="s">
        <v>786</v>
      </c>
      <c r="G4" s="387" t="s">
        <v>788</v>
      </c>
      <c r="H4" s="387" t="s">
        <v>1035</v>
      </c>
      <c r="I4" s="387" t="s">
        <v>790</v>
      </c>
      <c r="J4" s="387" t="s">
        <v>792</v>
      </c>
      <c r="K4" s="334" t="s">
        <v>794</v>
      </c>
      <c r="L4" s="372"/>
      <c r="M4" s="373" t="s">
        <v>594</v>
      </c>
      <c r="N4" s="373" t="s">
        <v>752</v>
      </c>
    </row>
    <row r="5" spans="1:14" ht="15" thickBot="1" x14ac:dyDescent="0.4">
      <c r="A5" s="342" t="s">
        <v>803</v>
      </c>
      <c r="B5" s="343"/>
      <c r="C5" s="343"/>
      <c r="D5" s="349">
        <v>2730</v>
      </c>
      <c r="E5" s="346">
        <v>0</v>
      </c>
      <c r="F5" s="349">
        <v>5852</v>
      </c>
      <c r="G5" s="346">
        <v>0</v>
      </c>
      <c r="H5" s="349">
        <v>1397</v>
      </c>
      <c r="I5" s="349"/>
      <c r="J5" s="349">
        <v>9979</v>
      </c>
      <c r="K5" s="347"/>
      <c r="L5" s="350"/>
      <c r="M5" s="374"/>
      <c r="N5" s="374"/>
    </row>
    <row r="6" spans="1:14" ht="13" thickTop="1" x14ac:dyDescent="0.25">
      <c r="A6" s="351" t="s">
        <v>321</v>
      </c>
      <c r="B6">
        <v>1014</v>
      </c>
      <c r="C6" s="352" t="s">
        <v>804</v>
      </c>
      <c r="D6" s="358">
        <v>0</v>
      </c>
      <c r="E6" s="355">
        <v>0</v>
      </c>
      <c r="F6" s="358">
        <v>0</v>
      </c>
      <c r="G6" s="355">
        <v>0</v>
      </c>
      <c r="H6" s="358">
        <v>0</v>
      </c>
      <c r="I6" s="358"/>
      <c r="J6" s="358">
        <v>0</v>
      </c>
      <c r="K6" s="356"/>
      <c r="M6" t="s">
        <v>604</v>
      </c>
      <c r="N6" t="s">
        <v>804</v>
      </c>
    </row>
    <row r="7" spans="1:14" x14ac:dyDescent="0.25">
      <c r="A7" s="359" t="s">
        <v>322</v>
      </c>
      <c r="B7">
        <v>1006</v>
      </c>
      <c r="C7" t="s">
        <v>805</v>
      </c>
      <c r="D7" s="358">
        <v>2730</v>
      </c>
      <c r="E7" s="355">
        <v>0</v>
      </c>
      <c r="F7" s="358">
        <v>5852</v>
      </c>
      <c r="G7" s="355">
        <v>0</v>
      </c>
      <c r="H7" s="358">
        <v>1397</v>
      </c>
      <c r="I7" s="358"/>
      <c r="J7" s="358">
        <v>9979</v>
      </c>
      <c r="K7" s="356"/>
      <c r="M7" t="s">
        <v>609</v>
      </c>
      <c r="N7" t="s">
        <v>805</v>
      </c>
    </row>
    <row r="8" spans="1:14" x14ac:dyDescent="0.25">
      <c r="A8" s="359" t="s">
        <v>323</v>
      </c>
      <c r="B8">
        <v>1008</v>
      </c>
      <c r="C8" t="s">
        <v>806</v>
      </c>
      <c r="D8" s="358">
        <v>0</v>
      </c>
      <c r="E8" s="355">
        <v>0</v>
      </c>
      <c r="F8" s="358">
        <v>0</v>
      </c>
      <c r="G8" s="355">
        <v>0</v>
      </c>
      <c r="H8" s="358">
        <v>0</v>
      </c>
      <c r="I8" s="358"/>
      <c r="J8" s="358">
        <v>0</v>
      </c>
      <c r="K8" s="356"/>
      <c r="M8" t="s">
        <v>610</v>
      </c>
      <c r="N8" t="s">
        <v>806</v>
      </c>
    </row>
    <row r="9" spans="1:14" x14ac:dyDescent="0.25">
      <c r="A9" s="359" t="s">
        <v>324</v>
      </c>
      <c r="B9">
        <v>1005</v>
      </c>
      <c r="C9" t="s">
        <v>807</v>
      </c>
      <c r="D9" s="358">
        <v>0</v>
      </c>
      <c r="E9" s="355">
        <v>0</v>
      </c>
      <c r="F9" s="358">
        <v>0</v>
      </c>
      <c r="G9" s="355">
        <v>0</v>
      </c>
      <c r="H9" s="358">
        <v>0</v>
      </c>
      <c r="I9" s="358"/>
      <c r="J9" s="358">
        <v>0</v>
      </c>
      <c r="K9" s="356"/>
      <c r="M9" t="s">
        <v>611</v>
      </c>
      <c r="N9" t="s">
        <v>807</v>
      </c>
    </row>
    <row r="10" spans="1:14" x14ac:dyDescent="0.25">
      <c r="A10" s="359" t="s">
        <v>325</v>
      </c>
      <c r="B10">
        <v>1010</v>
      </c>
      <c r="C10" t="s">
        <v>808</v>
      </c>
      <c r="D10" s="358">
        <v>0</v>
      </c>
      <c r="E10" s="355">
        <v>0</v>
      </c>
      <c r="F10" s="358">
        <v>0</v>
      </c>
      <c r="G10" s="355">
        <v>0</v>
      </c>
      <c r="H10" s="358">
        <v>0</v>
      </c>
      <c r="I10" s="358"/>
      <c r="J10" s="358">
        <v>0</v>
      </c>
      <c r="K10" s="356"/>
      <c r="M10" t="s">
        <v>623</v>
      </c>
      <c r="N10" t="s">
        <v>808</v>
      </c>
    </row>
    <row r="11" spans="1:14" x14ac:dyDescent="0.25">
      <c r="A11" s="359" t="s">
        <v>326</v>
      </c>
      <c r="B11">
        <v>1009</v>
      </c>
      <c r="C11" t="s">
        <v>809</v>
      </c>
      <c r="D11" s="358">
        <v>0</v>
      </c>
      <c r="E11" s="355">
        <v>0</v>
      </c>
      <c r="F11" s="358">
        <v>0</v>
      </c>
      <c r="G11" s="355">
        <v>0</v>
      </c>
      <c r="H11" s="358">
        <v>0</v>
      </c>
      <c r="I11" s="358"/>
      <c r="J11" s="358">
        <v>0</v>
      </c>
      <c r="K11" s="356"/>
      <c r="M11" t="s">
        <v>624</v>
      </c>
      <c r="N11" t="s">
        <v>809</v>
      </c>
    </row>
    <row r="12" spans="1:14" x14ac:dyDescent="0.25">
      <c r="A12" s="359" t="s">
        <v>327</v>
      </c>
      <c r="B12">
        <v>1015</v>
      </c>
      <c r="C12" t="s">
        <v>810</v>
      </c>
      <c r="D12" s="358">
        <v>0</v>
      </c>
      <c r="E12" s="355">
        <v>0</v>
      </c>
      <c r="F12" s="358">
        <v>0</v>
      </c>
      <c r="G12" s="355">
        <v>0</v>
      </c>
      <c r="H12" s="358">
        <v>0</v>
      </c>
      <c r="I12" s="358"/>
      <c r="J12" s="358">
        <v>0</v>
      </c>
      <c r="K12" s="356"/>
      <c r="M12" t="s">
        <v>625</v>
      </c>
      <c r="N12" t="s">
        <v>810</v>
      </c>
    </row>
    <row r="13" spans="1:14" ht="15" thickBot="1" x14ac:dyDescent="0.4">
      <c r="A13" s="342" t="s">
        <v>593</v>
      </c>
      <c r="B13" s="343"/>
      <c r="C13" s="343"/>
      <c r="D13" s="365">
        <v>0</v>
      </c>
      <c r="E13" s="362">
        <v>0</v>
      </c>
      <c r="F13" s="365">
        <v>0</v>
      </c>
      <c r="G13" s="362">
        <v>0</v>
      </c>
      <c r="H13" s="365">
        <v>0</v>
      </c>
      <c r="I13" s="365"/>
      <c r="J13" s="365">
        <v>0</v>
      </c>
      <c r="K13" s="363"/>
      <c r="L13" s="343"/>
      <c r="M13" s="374"/>
      <c r="N13">
        <v>0</v>
      </c>
    </row>
    <row r="14" spans="1:14" ht="13" thickTop="1" x14ac:dyDescent="0.25">
      <c r="A14" s="359" t="s">
        <v>70</v>
      </c>
      <c r="B14">
        <v>2443</v>
      </c>
      <c r="C14" t="s">
        <v>811</v>
      </c>
      <c r="D14" s="358">
        <v>0</v>
      </c>
      <c r="E14" s="355">
        <v>0</v>
      </c>
      <c r="F14" s="358">
        <v>0</v>
      </c>
      <c r="G14" s="355">
        <v>0</v>
      </c>
      <c r="H14" s="358">
        <v>0</v>
      </c>
      <c r="I14" s="358"/>
      <c r="J14" s="358">
        <v>0</v>
      </c>
      <c r="K14" s="356"/>
      <c r="M14" t="s">
        <v>602</v>
      </c>
      <c r="N14" t="s">
        <v>811</v>
      </c>
    </row>
    <row r="15" spans="1:14" x14ac:dyDescent="0.25">
      <c r="A15" s="359" t="s">
        <v>64</v>
      </c>
      <c r="B15">
        <v>2405</v>
      </c>
      <c r="C15" t="s">
        <v>812</v>
      </c>
      <c r="D15" s="358">
        <v>0</v>
      </c>
      <c r="E15" s="355">
        <v>0</v>
      </c>
      <c r="F15" s="358">
        <v>0</v>
      </c>
      <c r="G15" s="355">
        <v>0</v>
      </c>
      <c r="H15" s="358">
        <v>0</v>
      </c>
      <c r="I15" s="358"/>
      <c r="J15" s="358">
        <v>0</v>
      </c>
      <c r="K15" s="356"/>
      <c r="M15" t="s">
        <v>605</v>
      </c>
      <c r="N15" t="s">
        <v>812</v>
      </c>
    </row>
    <row r="16" spans="1:14" x14ac:dyDescent="0.25">
      <c r="A16" s="359" t="s">
        <v>606</v>
      </c>
      <c r="B16">
        <v>4177</v>
      </c>
      <c r="C16" t="s">
        <v>813</v>
      </c>
      <c r="D16" s="358">
        <v>0</v>
      </c>
      <c r="E16" s="355">
        <v>0</v>
      </c>
      <c r="F16" s="358">
        <v>0</v>
      </c>
      <c r="G16" s="355">
        <v>0</v>
      </c>
      <c r="H16" s="358">
        <v>0</v>
      </c>
      <c r="I16" s="358"/>
      <c r="J16" s="358">
        <v>0</v>
      </c>
      <c r="K16" s="356"/>
      <c r="M16" t="s">
        <v>607</v>
      </c>
      <c r="N16" t="s">
        <v>813</v>
      </c>
    </row>
    <row r="17" spans="1:14" x14ac:dyDescent="0.25">
      <c r="A17" s="359" t="s">
        <v>72</v>
      </c>
      <c r="B17">
        <v>2449</v>
      </c>
      <c r="C17" t="s">
        <v>814</v>
      </c>
      <c r="D17" s="358">
        <v>0</v>
      </c>
      <c r="E17" s="355">
        <v>0</v>
      </c>
      <c r="F17" s="358">
        <v>0</v>
      </c>
      <c r="G17" s="355">
        <v>0</v>
      </c>
      <c r="H17" s="358">
        <v>0</v>
      </c>
      <c r="I17" s="358"/>
      <c r="J17" s="358">
        <v>0</v>
      </c>
      <c r="K17" s="356"/>
      <c r="M17" t="s">
        <v>608</v>
      </c>
      <c r="N17" t="s">
        <v>814</v>
      </c>
    </row>
    <row r="18" spans="1:14" x14ac:dyDescent="0.25">
      <c r="A18" s="359" t="s">
        <v>73</v>
      </c>
      <c r="B18">
        <v>2452</v>
      </c>
      <c r="C18" t="s">
        <v>815</v>
      </c>
      <c r="D18" s="358">
        <v>0</v>
      </c>
      <c r="E18" s="355">
        <v>0</v>
      </c>
      <c r="F18" s="358">
        <v>0</v>
      </c>
      <c r="G18" s="355">
        <v>0</v>
      </c>
      <c r="H18" s="358">
        <v>0</v>
      </c>
      <c r="I18" s="358"/>
      <c r="J18" s="358">
        <v>0</v>
      </c>
      <c r="K18" s="356"/>
      <c r="M18" t="s">
        <v>612</v>
      </c>
      <c r="N18" t="s">
        <v>815</v>
      </c>
    </row>
    <row r="19" spans="1:14" x14ac:dyDescent="0.25">
      <c r="A19" s="359" t="s">
        <v>613</v>
      </c>
      <c r="B19">
        <v>2473</v>
      </c>
      <c r="C19" t="s">
        <v>816</v>
      </c>
      <c r="D19" s="358">
        <v>0</v>
      </c>
      <c r="E19" s="355">
        <v>0</v>
      </c>
      <c r="F19" s="358">
        <v>0</v>
      </c>
      <c r="G19" s="355">
        <v>0</v>
      </c>
      <c r="H19" s="358">
        <v>0</v>
      </c>
      <c r="I19" s="358"/>
      <c r="J19" s="358">
        <v>0</v>
      </c>
      <c r="K19" s="356"/>
      <c r="M19" t="s">
        <v>614</v>
      </c>
      <c r="N19" t="s">
        <v>816</v>
      </c>
    </row>
    <row r="20" spans="1:14" x14ac:dyDescent="0.25">
      <c r="A20" s="359" t="s">
        <v>62</v>
      </c>
      <c r="B20">
        <v>2003</v>
      </c>
      <c r="C20" t="s">
        <v>817</v>
      </c>
      <c r="D20" s="358">
        <v>0</v>
      </c>
      <c r="E20" s="355">
        <v>0</v>
      </c>
      <c r="F20" s="358">
        <v>0</v>
      </c>
      <c r="G20" s="355">
        <v>0</v>
      </c>
      <c r="H20" s="358">
        <v>0</v>
      </c>
      <c r="I20" s="358"/>
      <c r="J20" s="358">
        <v>0</v>
      </c>
      <c r="K20" s="356"/>
      <c r="M20" t="s">
        <v>615</v>
      </c>
      <c r="N20" t="s">
        <v>817</v>
      </c>
    </row>
    <row r="21" spans="1:14" x14ac:dyDescent="0.25">
      <c r="A21" s="359" t="s">
        <v>77</v>
      </c>
      <c r="B21">
        <v>2462</v>
      </c>
      <c r="C21" t="s">
        <v>818</v>
      </c>
      <c r="D21" s="358">
        <v>0</v>
      </c>
      <c r="E21" s="355">
        <v>0</v>
      </c>
      <c r="F21" s="358">
        <v>0</v>
      </c>
      <c r="G21" s="355">
        <v>0</v>
      </c>
      <c r="H21" s="358">
        <v>0</v>
      </c>
      <c r="I21" s="358"/>
      <c r="J21" s="358">
        <v>0</v>
      </c>
      <c r="K21" s="356"/>
      <c r="M21" t="s">
        <v>616</v>
      </c>
      <c r="N21" t="s">
        <v>818</v>
      </c>
    </row>
    <row r="22" spans="1:14" x14ac:dyDescent="0.25">
      <c r="A22" s="359" t="s">
        <v>80</v>
      </c>
      <c r="B22">
        <v>2505</v>
      </c>
      <c r="C22" t="s">
        <v>819</v>
      </c>
      <c r="D22" s="358">
        <v>0</v>
      </c>
      <c r="E22" s="355">
        <v>0</v>
      </c>
      <c r="F22" s="358">
        <v>0</v>
      </c>
      <c r="G22" s="355">
        <v>0</v>
      </c>
      <c r="H22" s="358">
        <v>0</v>
      </c>
      <c r="I22" s="358"/>
      <c r="J22" s="358">
        <v>0</v>
      </c>
      <c r="K22" s="356"/>
      <c r="M22" t="s">
        <v>617</v>
      </c>
      <c r="N22" t="s">
        <v>819</v>
      </c>
    </row>
    <row r="23" spans="1:14" x14ac:dyDescent="0.25">
      <c r="A23" s="359" t="s">
        <v>61</v>
      </c>
      <c r="B23">
        <v>2001</v>
      </c>
      <c r="C23" t="s">
        <v>820</v>
      </c>
      <c r="D23" s="358">
        <v>0</v>
      </c>
      <c r="E23" s="355">
        <v>0</v>
      </c>
      <c r="F23" s="358">
        <v>0</v>
      </c>
      <c r="G23" s="355">
        <v>0</v>
      </c>
      <c r="H23" s="358">
        <v>0</v>
      </c>
      <c r="I23" s="358"/>
      <c r="J23" s="358">
        <v>0</v>
      </c>
      <c r="K23" s="356"/>
      <c r="M23" t="s">
        <v>618</v>
      </c>
      <c r="N23" t="s">
        <v>820</v>
      </c>
    </row>
    <row r="24" spans="1:14" x14ac:dyDescent="0.25">
      <c r="A24" s="359" t="s">
        <v>67</v>
      </c>
      <c r="B24">
        <v>2429</v>
      </c>
      <c r="C24" t="s">
        <v>821</v>
      </c>
      <c r="D24" s="358">
        <v>0</v>
      </c>
      <c r="E24" s="355">
        <v>0</v>
      </c>
      <c r="F24" s="358">
        <v>0</v>
      </c>
      <c r="G24" s="355">
        <v>0</v>
      </c>
      <c r="H24" s="358">
        <v>0</v>
      </c>
      <c r="I24" s="358"/>
      <c r="J24" s="358">
        <v>0</v>
      </c>
      <c r="K24" s="356"/>
      <c r="M24" t="s">
        <v>619</v>
      </c>
      <c r="N24" t="s">
        <v>821</v>
      </c>
    </row>
    <row r="25" spans="1:14" x14ac:dyDescent="0.25">
      <c r="A25" s="359" t="s">
        <v>71</v>
      </c>
      <c r="B25">
        <v>2444</v>
      </c>
      <c r="C25" t="s">
        <v>822</v>
      </c>
      <c r="D25" s="358">
        <v>0</v>
      </c>
      <c r="E25" s="355">
        <v>0</v>
      </c>
      <c r="F25" s="358">
        <v>0</v>
      </c>
      <c r="G25" s="355">
        <v>0</v>
      </c>
      <c r="H25" s="358">
        <v>0</v>
      </c>
      <c r="I25" s="358"/>
      <c r="J25" s="358">
        <v>0</v>
      </c>
      <c r="K25" s="356"/>
      <c r="M25" t="s">
        <v>620</v>
      </c>
      <c r="N25" t="s">
        <v>822</v>
      </c>
    </row>
    <row r="26" spans="1:14" x14ac:dyDescent="0.25">
      <c r="A26" s="359" t="s">
        <v>621</v>
      </c>
      <c r="B26">
        <v>3526</v>
      </c>
      <c r="C26" t="s">
        <v>823</v>
      </c>
      <c r="D26" s="358">
        <v>0</v>
      </c>
      <c r="E26" s="355">
        <v>0</v>
      </c>
      <c r="F26" s="358">
        <v>0</v>
      </c>
      <c r="G26" s="355">
        <v>0</v>
      </c>
      <c r="H26" s="358">
        <v>0</v>
      </c>
      <c r="I26" s="358"/>
      <c r="J26" s="358">
        <v>0</v>
      </c>
      <c r="K26" s="356"/>
      <c r="M26" t="s">
        <v>622</v>
      </c>
      <c r="N26" t="s">
        <v>823</v>
      </c>
    </row>
    <row r="27" spans="1:14" ht="15" thickBot="1" x14ac:dyDescent="0.4">
      <c r="A27" s="342" t="s">
        <v>261</v>
      </c>
      <c r="B27" s="343"/>
      <c r="C27" s="343"/>
      <c r="D27" s="365">
        <v>0</v>
      </c>
      <c r="E27" s="362">
        <v>0</v>
      </c>
      <c r="F27" s="365">
        <v>0</v>
      </c>
      <c r="G27" s="362">
        <v>0</v>
      </c>
      <c r="H27" s="365">
        <v>0</v>
      </c>
      <c r="I27" s="365"/>
      <c r="J27" s="365">
        <v>0</v>
      </c>
      <c r="K27" s="363"/>
      <c r="L27" s="343"/>
      <c r="M27" s="374"/>
      <c r="N27">
        <v>0</v>
      </c>
    </row>
    <row r="28" spans="1:14" ht="13" thickTop="1" x14ac:dyDescent="0.25">
      <c r="A28" s="359" t="s">
        <v>123</v>
      </c>
      <c r="B28">
        <v>2629</v>
      </c>
      <c r="C28" t="s">
        <v>824</v>
      </c>
      <c r="D28" s="358">
        <v>0</v>
      </c>
      <c r="E28" s="355">
        <v>0</v>
      </c>
      <c r="F28" s="358">
        <v>0</v>
      </c>
      <c r="G28" s="355">
        <v>0</v>
      </c>
      <c r="H28" s="358">
        <v>0</v>
      </c>
      <c r="I28" s="358"/>
      <c r="J28" s="358">
        <v>0</v>
      </c>
      <c r="K28" s="356"/>
      <c r="N28" t="s">
        <v>824</v>
      </c>
    </row>
    <row r="29" spans="1:14" x14ac:dyDescent="0.25">
      <c r="A29" s="359" t="s">
        <v>627</v>
      </c>
      <c r="B29">
        <v>2509</v>
      </c>
      <c r="C29" t="s">
        <v>825</v>
      </c>
      <c r="D29" s="358">
        <v>0</v>
      </c>
      <c r="E29" s="355">
        <v>0</v>
      </c>
      <c r="F29" s="358">
        <v>0</v>
      </c>
      <c r="G29" s="355">
        <v>0</v>
      </c>
      <c r="H29" s="358">
        <v>0</v>
      </c>
      <c r="I29" s="358"/>
      <c r="J29" s="358">
        <v>0</v>
      </c>
      <c r="K29" s="356"/>
      <c r="N29" t="s">
        <v>825</v>
      </c>
    </row>
    <row r="30" spans="1:14" x14ac:dyDescent="0.25">
      <c r="A30" s="359" t="s">
        <v>628</v>
      </c>
      <c r="B30">
        <v>2021</v>
      </c>
      <c r="C30" t="s">
        <v>826</v>
      </c>
      <c r="D30" s="358">
        <v>0</v>
      </c>
      <c r="E30" s="355">
        <v>0</v>
      </c>
      <c r="F30" s="358">
        <v>0</v>
      </c>
      <c r="G30" s="355">
        <v>0</v>
      </c>
      <c r="H30" s="358">
        <v>0</v>
      </c>
      <c r="I30" s="358"/>
      <c r="J30" s="358">
        <v>0</v>
      </c>
      <c r="K30" s="356"/>
      <c r="N30" t="s">
        <v>826</v>
      </c>
    </row>
    <row r="31" spans="1:14" x14ac:dyDescent="0.25">
      <c r="A31" s="359" t="s">
        <v>116</v>
      </c>
      <c r="B31">
        <v>2464</v>
      </c>
      <c r="C31" t="s">
        <v>827</v>
      </c>
      <c r="D31" s="358">
        <v>0</v>
      </c>
      <c r="E31" s="355">
        <v>0</v>
      </c>
      <c r="F31" s="358">
        <v>0</v>
      </c>
      <c r="G31" s="355">
        <v>0</v>
      </c>
      <c r="H31" s="358">
        <v>0</v>
      </c>
      <c r="I31" s="358"/>
      <c r="J31" s="358">
        <v>0</v>
      </c>
      <c r="K31" s="356"/>
      <c r="N31" t="s">
        <v>827</v>
      </c>
    </row>
    <row r="32" spans="1:14" x14ac:dyDescent="0.25">
      <c r="A32" s="359" t="s">
        <v>88</v>
      </c>
      <c r="B32">
        <v>2004</v>
      </c>
      <c r="C32" t="s">
        <v>828</v>
      </c>
      <c r="D32" s="358">
        <v>0</v>
      </c>
      <c r="E32" s="355">
        <v>0</v>
      </c>
      <c r="F32" s="358">
        <v>0</v>
      </c>
      <c r="G32" s="355">
        <v>0</v>
      </c>
      <c r="H32" s="358">
        <v>0</v>
      </c>
      <c r="I32" s="358"/>
      <c r="J32" s="358">
        <v>0</v>
      </c>
      <c r="K32" s="356"/>
      <c r="N32" t="s">
        <v>828</v>
      </c>
    </row>
    <row r="33" spans="1:14" x14ac:dyDescent="0.25">
      <c r="A33" s="359" t="s">
        <v>629</v>
      </c>
      <c r="B33">
        <v>2432</v>
      </c>
      <c r="C33" t="s">
        <v>829</v>
      </c>
      <c r="D33" s="358">
        <v>0</v>
      </c>
      <c r="E33" s="355">
        <v>0</v>
      </c>
      <c r="F33" s="358">
        <v>0</v>
      </c>
      <c r="G33" s="355">
        <v>0</v>
      </c>
      <c r="H33" s="358">
        <v>0</v>
      </c>
      <c r="I33" s="358"/>
      <c r="J33" s="358">
        <v>0</v>
      </c>
      <c r="K33" s="356"/>
      <c r="N33" t="s">
        <v>829</v>
      </c>
    </row>
    <row r="34" spans="1:14" x14ac:dyDescent="0.25">
      <c r="A34" s="359" t="s">
        <v>100</v>
      </c>
      <c r="B34">
        <v>2018</v>
      </c>
      <c r="C34" t="s">
        <v>830</v>
      </c>
      <c r="D34" s="358">
        <v>0</v>
      </c>
      <c r="E34" s="355">
        <v>0</v>
      </c>
      <c r="F34" s="358">
        <v>0</v>
      </c>
      <c r="G34" s="355">
        <v>0</v>
      </c>
      <c r="H34" s="358">
        <v>0</v>
      </c>
      <c r="I34" s="358"/>
      <c r="J34" s="358">
        <v>0</v>
      </c>
      <c r="K34" s="356"/>
      <c r="N34" t="s">
        <v>830</v>
      </c>
    </row>
    <row r="35" spans="1:14" x14ac:dyDescent="0.25">
      <c r="A35" s="359" t="s">
        <v>121</v>
      </c>
      <c r="B35">
        <v>2512</v>
      </c>
      <c r="C35" t="s">
        <v>831</v>
      </c>
      <c r="D35" s="358">
        <v>0</v>
      </c>
      <c r="E35" s="355">
        <v>0</v>
      </c>
      <c r="F35" s="358">
        <v>0</v>
      </c>
      <c r="G35" s="355">
        <v>0</v>
      </c>
      <c r="H35" s="358">
        <v>0</v>
      </c>
      <c r="I35" s="358"/>
      <c r="J35" s="358">
        <v>0</v>
      </c>
      <c r="K35" s="356"/>
      <c r="N35" t="s">
        <v>831</v>
      </c>
    </row>
    <row r="36" spans="1:14" x14ac:dyDescent="0.25">
      <c r="A36" s="359" t="s">
        <v>630</v>
      </c>
      <c r="B36">
        <v>2011</v>
      </c>
      <c r="C36" t="s">
        <v>832</v>
      </c>
      <c r="D36" s="358">
        <v>0</v>
      </c>
      <c r="E36" s="355">
        <v>0</v>
      </c>
      <c r="F36" s="358">
        <v>0</v>
      </c>
      <c r="G36" s="355">
        <v>0</v>
      </c>
      <c r="H36" s="358">
        <v>0</v>
      </c>
      <c r="I36" s="358"/>
      <c r="J36" s="358">
        <v>0</v>
      </c>
      <c r="K36" s="356"/>
      <c r="N36" t="s">
        <v>832</v>
      </c>
    </row>
    <row r="37" spans="1:14" x14ac:dyDescent="0.25">
      <c r="A37" s="359" t="s">
        <v>135</v>
      </c>
      <c r="B37">
        <v>5201</v>
      </c>
      <c r="C37" t="s">
        <v>833</v>
      </c>
      <c r="D37" s="358">
        <v>0</v>
      </c>
      <c r="E37" s="355">
        <v>0</v>
      </c>
      <c r="F37" s="358">
        <v>0</v>
      </c>
      <c r="G37" s="355">
        <v>0</v>
      </c>
      <c r="H37" s="358">
        <v>0</v>
      </c>
      <c r="I37" s="358"/>
      <c r="J37" s="358">
        <v>0</v>
      </c>
      <c r="K37" s="356"/>
      <c r="N37" t="s">
        <v>833</v>
      </c>
    </row>
    <row r="38" spans="1:14" x14ac:dyDescent="0.25">
      <c r="A38" s="359" t="s">
        <v>631</v>
      </c>
      <c r="B38">
        <v>2456</v>
      </c>
      <c r="C38" t="s">
        <v>834</v>
      </c>
      <c r="D38" s="358">
        <v>0</v>
      </c>
      <c r="E38" s="355">
        <v>0</v>
      </c>
      <c r="F38" s="358">
        <v>0</v>
      </c>
      <c r="G38" s="355">
        <v>0</v>
      </c>
      <c r="H38" s="358">
        <v>0</v>
      </c>
      <c r="I38" s="358"/>
      <c r="J38" s="358">
        <v>0</v>
      </c>
      <c r="K38" s="356"/>
      <c r="N38" t="s">
        <v>834</v>
      </c>
    </row>
    <row r="39" spans="1:14" x14ac:dyDescent="0.25">
      <c r="A39" s="359" t="s">
        <v>109</v>
      </c>
      <c r="B39">
        <v>2027</v>
      </c>
      <c r="C39" t="s">
        <v>753</v>
      </c>
      <c r="D39" s="358">
        <v>0</v>
      </c>
      <c r="E39" s="355">
        <v>0</v>
      </c>
      <c r="F39" s="358">
        <v>0</v>
      </c>
      <c r="G39" s="355">
        <v>0</v>
      </c>
      <c r="H39" s="358">
        <v>0</v>
      </c>
      <c r="I39" s="358"/>
      <c r="J39" s="358">
        <v>0</v>
      </c>
      <c r="K39" s="356"/>
      <c r="N39" t="s">
        <v>753</v>
      </c>
    </row>
    <row r="40" spans="1:14" x14ac:dyDescent="0.25">
      <c r="A40" s="359" t="s">
        <v>118</v>
      </c>
      <c r="B40">
        <v>2467</v>
      </c>
      <c r="C40" t="s">
        <v>836</v>
      </c>
      <c r="D40" s="358">
        <v>0</v>
      </c>
      <c r="E40" s="355">
        <v>0</v>
      </c>
      <c r="F40" s="358">
        <v>0</v>
      </c>
      <c r="G40" s="355">
        <v>0</v>
      </c>
      <c r="H40" s="358">
        <v>0</v>
      </c>
      <c r="I40" s="358"/>
      <c r="J40" s="358">
        <v>0</v>
      </c>
      <c r="K40" s="356"/>
      <c r="N40" t="s">
        <v>836</v>
      </c>
    </row>
    <row r="41" spans="1:14" x14ac:dyDescent="0.25">
      <c r="A41" s="359" t="s">
        <v>112</v>
      </c>
      <c r="B41">
        <v>2451</v>
      </c>
      <c r="C41" t="s">
        <v>837</v>
      </c>
      <c r="D41" s="358">
        <v>0</v>
      </c>
      <c r="E41" s="355">
        <v>0</v>
      </c>
      <c r="F41" s="358">
        <v>0</v>
      </c>
      <c r="G41" s="355">
        <v>0</v>
      </c>
      <c r="H41" s="358">
        <v>0</v>
      </c>
      <c r="I41" s="358"/>
      <c r="J41" s="358">
        <v>0</v>
      </c>
      <c r="K41" s="356"/>
      <c r="N41" t="s">
        <v>837</v>
      </c>
    </row>
    <row r="42" spans="1:14" x14ac:dyDescent="0.25">
      <c r="A42" s="359" t="s">
        <v>632</v>
      </c>
      <c r="B42">
        <v>2023</v>
      </c>
      <c r="C42" t="s">
        <v>838</v>
      </c>
      <c r="D42" s="358">
        <v>0</v>
      </c>
      <c r="E42" s="355">
        <v>0</v>
      </c>
      <c r="F42" s="358">
        <v>0</v>
      </c>
      <c r="G42" s="355">
        <v>0</v>
      </c>
      <c r="H42" s="358">
        <v>0</v>
      </c>
      <c r="I42" s="358"/>
      <c r="J42" s="358">
        <v>0</v>
      </c>
      <c r="K42" s="356"/>
      <c r="N42" t="s">
        <v>838</v>
      </c>
    </row>
    <row r="43" spans="1:14" x14ac:dyDescent="0.25">
      <c r="A43" s="359" t="s">
        <v>633</v>
      </c>
      <c r="B43">
        <v>2016</v>
      </c>
      <c r="C43" t="s">
        <v>839</v>
      </c>
      <c r="D43" s="358">
        <v>0</v>
      </c>
      <c r="E43" s="355">
        <v>0</v>
      </c>
      <c r="F43" s="358">
        <v>0</v>
      </c>
      <c r="G43" s="355">
        <v>0</v>
      </c>
      <c r="H43" s="358">
        <v>0</v>
      </c>
      <c r="I43" s="358"/>
      <c r="J43" s="358">
        <v>0</v>
      </c>
      <c r="K43" s="356"/>
      <c r="N43" t="s">
        <v>839</v>
      </c>
    </row>
    <row r="44" spans="1:14" x14ac:dyDescent="0.25">
      <c r="A44" s="359" t="s">
        <v>634</v>
      </c>
      <c r="B44">
        <v>2013</v>
      </c>
      <c r="C44" t="s">
        <v>840</v>
      </c>
      <c r="D44" s="358">
        <v>0</v>
      </c>
      <c r="E44" s="355">
        <v>0</v>
      </c>
      <c r="F44" s="358">
        <v>0</v>
      </c>
      <c r="G44" s="355">
        <v>0</v>
      </c>
      <c r="H44" s="358">
        <v>0</v>
      </c>
      <c r="I44" s="358"/>
      <c r="J44" s="358">
        <v>0</v>
      </c>
      <c r="K44" s="356"/>
      <c r="N44" t="s">
        <v>840</v>
      </c>
    </row>
    <row r="45" spans="1:14" x14ac:dyDescent="0.25">
      <c r="A45" s="359" t="s">
        <v>635</v>
      </c>
      <c r="B45">
        <v>2010</v>
      </c>
      <c r="C45" t="s">
        <v>841</v>
      </c>
      <c r="D45" s="358">
        <v>0</v>
      </c>
      <c r="E45" s="355">
        <v>0</v>
      </c>
      <c r="F45" s="358">
        <v>0</v>
      </c>
      <c r="G45" s="355">
        <v>0</v>
      </c>
      <c r="H45" s="358">
        <v>0</v>
      </c>
      <c r="I45" s="358"/>
      <c r="J45" s="358">
        <v>0</v>
      </c>
      <c r="K45" s="356"/>
      <c r="N45" t="s">
        <v>841</v>
      </c>
    </row>
    <row r="46" spans="1:14" x14ac:dyDescent="0.25">
      <c r="A46" s="359" t="s">
        <v>87</v>
      </c>
      <c r="B46">
        <v>2002</v>
      </c>
      <c r="C46" t="s">
        <v>842</v>
      </c>
      <c r="D46" s="358">
        <v>0</v>
      </c>
      <c r="E46" s="355">
        <v>0</v>
      </c>
      <c r="F46" s="358">
        <v>0</v>
      </c>
      <c r="G46" s="355">
        <v>0</v>
      </c>
      <c r="H46" s="358">
        <v>0</v>
      </c>
      <c r="I46" s="358"/>
      <c r="J46" s="358">
        <v>0</v>
      </c>
      <c r="K46" s="356"/>
      <c r="N46" t="s">
        <v>842</v>
      </c>
    </row>
    <row r="47" spans="1:14" x14ac:dyDescent="0.25">
      <c r="A47" s="359" t="s">
        <v>636</v>
      </c>
      <c r="B47">
        <v>2006</v>
      </c>
      <c r="C47" t="s">
        <v>843</v>
      </c>
      <c r="D47" s="358">
        <v>0</v>
      </c>
      <c r="E47" s="355">
        <v>0</v>
      </c>
      <c r="F47" s="358">
        <v>0</v>
      </c>
      <c r="G47" s="355">
        <v>0</v>
      </c>
      <c r="H47" s="358">
        <v>0</v>
      </c>
      <c r="I47" s="358"/>
      <c r="J47" s="358">
        <v>0</v>
      </c>
      <c r="K47" s="356"/>
      <c r="N47" t="s">
        <v>843</v>
      </c>
    </row>
    <row r="48" spans="1:14" x14ac:dyDescent="0.25">
      <c r="A48" s="359" t="s">
        <v>106</v>
      </c>
      <c r="B48">
        <v>2024</v>
      </c>
      <c r="C48" t="s">
        <v>844</v>
      </c>
      <c r="D48" s="358">
        <v>0</v>
      </c>
      <c r="E48" s="355">
        <v>0</v>
      </c>
      <c r="F48" s="358">
        <v>0</v>
      </c>
      <c r="G48" s="355">
        <v>0</v>
      </c>
      <c r="H48" s="358">
        <v>0</v>
      </c>
      <c r="I48" s="358"/>
      <c r="J48" s="358">
        <v>0</v>
      </c>
      <c r="K48" s="356"/>
      <c r="N48" t="s">
        <v>844</v>
      </c>
    </row>
    <row r="49" spans="1:14" x14ac:dyDescent="0.25">
      <c r="A49" s="359" t="s">
        <v>132</v>
      </c>
      <c r="B49">
        <v>3544</v>
      </c>
      <c r="C49" t="s">
        <v>845</v>
      </c>
      <c r="D49" s="358">
        <v>0</v>
      </c>
      <c r="E49" s="355">
        <v>0</v>
      </c>
      <c r="F49" s="358">
        <v>0</v>
      </c>
      <c r="G49" s="355">
        <v>0</v>
      </c>
      <c r="H49" s="358">
        <v>0</v>
      </c>
      <c r="I49" s="358"/>
      <c r="J49" s="358">
        <v>0</v>
      </c>
      <c r="K49" s="356"/>
      <c r="N49" t="s">
        <v>845</v>
      </c>
    </row>
    <row r="50" spans="1:14" x14ac:dyDescent="0.25">
      <c r="A50" s="359" t="s">
        <v>637</v>
      </c>
      <c r="B50">
        <v>2022</v>
      </c>
      <c r="C50" t="s">
        <v>846</v>
      </c>
      <c r="D50" s="358">
        <v>0</v>
      </c>
      <c r="E50" s="355">
        <v>0</v>
      </c>
      <c r="F50" s="358">
        <v>0</v>
      </c>
      <c r="G50" s="355">
        <v>0</v>
      </c>
      <c r="H50" s="358">
        <v>0</v>
      </c>
      <c r="I50" s="358"/>
      <c r="J50" s="358">
        <v>0</v>
      </c>
      <c r="K50" s="356"/>
      <c r="N50" t="s">
        <v>846</v>
      </c>
    </row>
    <row r="51" spans="1:14" x14ac:dyDescent="0.25">
      <c r="A51" s="359" t="s">
        <v>638</v>
      </c>
      <c r="B51">
        <v>2020</v>
      </c>
      <c r="C51" t="s">
        <v>847</v>
      </c>
      <c r="D51" s="358">
        <v>0</v>
      </c>
      <c r="E51" s="355">
        <v>0</v>
      </c>
      <c r="F51" s="358">
        <v>0</v>
      </c>
      <c r="G51" s="355">
        <v>0</v>
      </c>
      <c r="H51" s="358">
        <v>0</v>
      </c>
      <c r="I51" s="358"/>
      <c r="J51" s="358">
        <v>0</v>
      </c>
      <c r="K51" s="356"/>
      <c r="N51" t="s">
        <v>847</v>
      </c>
    </row>
    <row r="52" spans="1:14" x14ac:dyDescent="0.25">
      <c r="A52" s="359" t="s">
        <v>639</v>
      </c>
      <c r="B52">
        <v>2028</v>
      </c>
      <c r="C52" s="352" t="s">
        <v>848</v>
      </c>
      <c r="D52" s="358">
        <v>0</v>
      </c>
      <c r="E52" s="355">
        <v>0</v>
      </c>
      <c r="F52" s="358">
        <v>0</v>
      </c>
      <c r="G52" s="355">
        <v>0</v>
      </c>
      <c r="H52" s="358">
        <v>0</v>
      </c>
      <c r="I52" s="358"/>
      <c r="J52" s="358">
        <v>0</v>
      </c>
      <c r="K52" s="356"/>
      <c r="N52" t="s">
        <v>848</v>
      </c>
    </row>
    <row r="53" spans="1:14" x14ac:dyDescent="0.25">
      <c r="A53" s="359" t="s">
        <v>640</v>
      </c>
      <c r="B53">
        <v>3543</v>
      </c>
      <c r="C53" t="s">
        <v>849</v>
      </c>
      <c r="D53" s="358">
        <v>0</v>
      </c>
      <c r="E53" s="355">
        <v>0</v>
      </c>
      <c r="F53" s="358">
        <v>0</v>
      </c>
      <c r="G53" s="355">
        <v>0</v>
      </c>
      <c r="H53" s="358">
        <v>0</v>
      </c>
      <c r="I53" s="358"/>
      <c r="J53" s="358">
        <v>0</v>
      </c>
      <c r="K53" s="356"/>
      <c r="N53" t="s">
        <v>849</v>
      </c>
    </row>
    <row r="54" spans="1:14" x14ac:dyDescent="0.25">
      <c r="A54" s="359" t="s">
        <v>641</v>
      </c>
      <c r="B54">
        <v>3158</v>
      </c>
      <c r="C54" t="s">
        <v>850</v>
      </c>
      <c r="D54" s="358">
        <v>0</v>
      </c>
      <c r="E54" s="355">
        <v>0</v>
      </c>
      <c r="F54" s="358">
        <v>0</v>
      </c>
      <c r="G54" s="355">
        <v>0</v>
      </c>
      <c r="H54" s="358">
        <v>0</v>
      </c>
      <c r="I54" s="358"/>
      <c r="J54" s="358">
        <v>0</v>
      </c>
      <c r="K54" s="356"/>
      <c r="N54" t="s">
        <v>850</v>
      </c>
    </row>
    <row r="55" spans="1:14" x14ac:dyDescent="0.25">
      <c r="A55" s="359" t="s">
        <v>642</v>
      </c>
      <c r="B55">
        <v>3528</v>
      </c>
      <c r="C55" t="s">
        <v>851</v>
      </c>
      <c r="D55" s="358">
        <v>0</v>
      </c>
      <c r="E55" s="355">
        <v>0</v>
      </c>
      <c r="F55" s="358">
        <v>0</v>
      </c>
      <c r="G55" s="355">
        <v>0</v>
      </c>
      <c r="H55" s="358">
        <v>0</v>
      </c>
      <c r="I55" s="358"/>
      <c r="J55" s="358">
        <v>0</v>
      </c>
      <c r="K55" s="356"/>
      <c r="N55" t="s">
        <v>851</v>
      </c>
    </row>
    <row r="56" spans="1:14" x14ac:dyDescent="0.25">
      <c r="A56" s="359" t="s">
        <v>643</v>
      </c>
      <c r="B56">
        <v>3546</v>
      </c>
      <c r="C56" t="s">
        <v>852</v>
      </c>
      <c r="D56" s="358">
        <v>0</v>
      </c>
      <c r="E56" s="355">
        <v>0</v>
      </c>
      <c r="F56" s="358">
        <v>0</v>
      </c>
      <c r="G56" s="355">
        <v>0</v>
      </c>
      <c r="H56" s="358">
        <v>0</v>
      </c>
      <c r="I56" s="358"/>
      <c r="J56" s="358">
        <v>0</v>
      </c>
      <c r="K56" s="356"/>
      <c r="N56" t="s">
        <v>852</v>
      </c>
    </row>
    <row r="57" spans="1:14" x14ac:dyDescent="0.25">
      <c r="A57" s="359" t="s">
        <v>644</v>
      </c>
      <c r="B57">
        <v>3530</v>
      </c>
      <c r="C57" t="s">
        <v>853</v>
      </c>
      <c r="D57" s="358">
        <v>0</v>
      </c>
      <c r="E57" s="355">
        <v>0</v>
      </c>
      <c r="F57" s="358">
        <v>0</v>
      </c>
      <c r="G57" s="355">
        <v>0</v>
      </c>
      <c r="H57" s="358">
        <v>0</v>
      </c>
      <c r="I57" s="358"/>
      <c r="J57" s="358">
        <v>0</v>
      </c>
      <c r="K57" s="356"/>
      <c r="N57" t="s">
        <v>853</v>
      </c>
    </row>
    <row r="58" spans="1:14" x14ac:dyDescent="0.25">
      <c r="A58" s="359" t="s">
        <v>645</v>
      </c>
      <c r="B58">
        <v>2007</v>
      </c>
      <c r="C58" t="s">
        <v>854</v>
      </c>
      <c r="D58" s="358">
        <v>0</v>
      </c>
      <c r="E58" s="355">
        <v>0</v>
      </c>
      <c r="F58" s="358">
        <v>0</v>
      </c>
      <c r="G58" s="355">
        <v>0</v>
      </c>
      <c r="H58" s="358">
        <v>0</v>
      </c>
      <c r="I58" s="358"/>
      <c r="J58" s="358">
        <v>0</v>
      </c>
      <c r="K58" s="356"/>
      <c r="N58" t="s">
        <v>854</v>
      </c>
    </row>
    <row r="59" spans="1:14" x14ac:dyDescent="0.25">
      <c r="A59" s="359" t="s">
        <v>855</v>
      </c>
      <c r="B59">
        <v>4000</v>
      </c>
      <c r="C59" t="s">
        <v>646</v>
      </c>
      <c r="D59" s="358">
        <v>0</v>
      </c>
      <c r="E59" s="355">
        <v>0</v>
      </c>
      <c r="F59" s="358">
        <v>0</v>
      </c>
      <c r="G59" s="355">
        <v>0</v>
      </c>
      <c r="H59" s="358">
        <v>0</v>
      </c>
      <c r="I59" s="358"/>
      <c r="J59" s="358">
        <v>0</v>
      </c>
      <c r="K59" s="356"/>
      <c r="N59" t="s">
        <v>646</v>
      </c>
    </row>
    <row r="60" spans="1:14" ht="15" thickBot="1" x14ac:dyDescent="0.4">
      <c r="A60" s="342" t="s">
        <v>856</v>
      </c>
      <c r="B60" s="343" t="s">
        <v>60</v>
      </c>
      <c r="C60" s="343"/>
      <c r="D60" s="365">
        <v>189682.59631578947</v>
      </c>
      <c r="E60" s="362">
        <v>0</v>
      </c>
      <c r="F60" s="365">
        <v>403571.3838947367</v>
      </c>
      <c r="G60" s="362">
        <v>0</v>
      </c>
      <c r="H60" s="365">
        <v>150941.86394736846</v>
      </c>
      <c r="I60" s="365"/>
      <c r="J60" s="365">
        <v>744195.84415789461</v>
      </c>
      <c r="K60" s="363"/>
      <c r="L60" s="343"/>
      <c r="M60" s="374"/>
      <c r="N60">
        <v>0</v>
      </c>
    </row>
    <row r="61" spans="1:14" ht="13" thickTop="1" x14ac:dyDescent="0.25">
      <c r="A61" s="359" t="s">
        <v>328</v>
      </c>
      <c r="B61">
        <v>206189</v>
      </c>
      <c r="C61" t="s">
        <v>857</v>
      </c>
      <c r="D61" s="358">
        <v>1755</v>
      </c>
      <c r="E61" s="355">
        <v>0</v>
      </c>
      <c r="F61" s="358">
        <v>3570</v>
      </c>
      <c r="G61" s="355">
        <v>0</v>
      </c>
      <c r="H61" s="358">
        <v>825</v>
      </c>
      <c r="I61" s="358"/>
      <c r="J61" s="358">
        <v>6150</v>
      </c>
      <c r="K61" s="356"/>
      <c r="N61" t="s">
        <v>857</v>
      </c>
    </row>
    <row r="62" spans="1:14" x14ac:dyDescent="0.25">
      <c r="A62" s="359" t="s">
        <v>329</v>
      </c>
      <c r="B62" t="s">
        <v>649</v>
      </c>
      <c r="C62" t="s">
        <v>858</v>
      </c>
      <c r="D62" s="358">
        <v>195</v>
      </c>
      <c r="E62" s="355">
        <v>0</v>
      </c>
      <c r="F62" s="358">
        <v>0</v>
      </c>
      <c r="G62" s="355">
        <v>0</v>
      </c>
      <c r="H62" s="358">
        <v>1155</v>
      </c>
      <c r="I62" s="358"/>
      <c r="J62" s="358">
        <v>1350</v>
      </c>
      <c r="K62" s="356"/>
      <c r="N62" t="s">
        <v>858</v>
      </c>
    </row>
    <row r="63" spans="1:14" x14ac:dyDescent="0.25">
      <c r="A63" s="359" t="s">
        <v>165</v>
      </c>
      <c r="B63" t="s">
        <v>332</v>
      </c>
      <c r="C63" t="s">
        <v>859</v>
      </c>
      <c r="D63" s="358">
        <v>195</v>
      </c>
      <c r="E63" s="355">
        <v>0</v>
      </c>
      <c r="F63" s="358">
        <v>420</v>
      </c>
      <c r="G63" s="355">
        <v>0</v>
      </c>
      <c r="H63" s="358">
        <v>495</v>
      </c>
      <c r="I63" s="358"/>
      <c r="J63" s="358">
        <v>1110</v>
      </c>
      <c r="K63" s="356"/>
      <c r="N63" t="s">
        <v>859</v>
      </c>
    </row>
    <row r="64" spans="1:14" x14ac:dyDescent="0.25">
      <c r="A64" s="359" t="s">
        <v>334</v>
      </c>
      <c r="B64" t="s">
        <v>333</v>
      </c>
      <c r="C64" t="s">
        <v>860</v>
      </c>
      <c r="D64" s="358">
        <v>3313.6452631578941</v>
      </c>
      <c r="E64" s="355">
        <v>0</v>
      </c>
      <c r="F64" s="358">
        <v>11900</v>
      </c>
      <c r="G64" s="355">
        <v>0</v>
      </c>
      <c r="H64" s="358">
        <v>3298.3760526315782</v>
      </c>
      <c r="I64" s="358"/>
      <c r="J64" s="358">
        <v>18512.021315789472</v>
      </c>
      <c r="K64" s="356"/>
      <c r="N64" t="s">
        <v>860</v>
      </c>
    </row>
    <row r="65" spans="1:14" x14ac:dyDescent="0.25">
      <c r="A65" s="359" t="s">
        <v>335</v>
      </c>
      <c r="B65">
        <v>206124</v>
      </c>
      <c r="C65" t="s">
        <v>862</v>
      </c>
      <c r="D65" s="358">
        <v>195</v>
      </c>
      <c r="E65" s="355">
        <v>0</v>
      </c>
      <c r="F65" s="358">
        <v>420</v>
      </c>
      <c r="G65" s="355">
        <v>0</v>
      </c>
      <c r="H65" s="358">
        <v>165</v>
      </c>
      <c r="I65" s="358"/>
      <c r="J65" s="358">
        <v>780</v>
      </c>
      <c r="K65" s="356"/>
      <c r="N65" t="s">
        <v>862</v>
      </c>
    </row>
    <row r="66" spans="1:14" x14ac:dyDescent="0.25">
      <c r="A66" s="359" t="s">
        <v>861</v>
      </c>
      <c r="B66" t="s">
        <v>1016</v>
      </c>
      <c r="C66" t="s">
        <v>1016</v>
      </c>
      <c r="D66" s="358">
        <v>0</v>
      </c>
      <c r="E66" s="355">
        <v>0</v>
      </c>
      <c r="F66" s="358">
        <v>0</v>
      </c>
      <c r="G66" s="355">
        <v>0</v>
      </c>
      <c r="H66" s="358">
        <v>0</v>
      </c>
      <c r="I66" s="358"/>
      <c r="J66" s="358">
        <v>0</v>
      </c>
      <c r="K66" s="356"/>
      <c r="N66" t="s">
        <v>1016</v>
      </c>
    </row>
    <row r="67" spans="1:14" x14ac:dyDescent="0.25">
      <c r="A67" s="359" t="s">
        <v>338</v>
      </c>
      <c r="B67">
        <v>206126</v>
      </c>
      <c r="C67" t="s">
        <v>863</v>
      </c>
      <c r="D67" s="358">
        <v>0</v>
      </c>
      <c r="E67" s="355">
        <v>0</v>
      </c>
      <c r="F67" s="358">
        <v>420</v>
      </c>
      <c r="G67" s="355">
        <v>0</v>
      </c>
      <c r="H67" s="358">
        <v>0</v>
      </c>
      <c r="I67" s="358"/>
      <c r="J67" s="358">
        <v>420</v>
      </c>
      <c r="K67" s="356"/>
      <c r="N67" t="s">
        <v>863</v>
      </c>
    </row>
    <row r="68" spans="1:14" x14ac:dyDescent="0.25">
      <c r="A68" s="359" t="s">
        <v>339</v>
      </c>
      <c r="B68">
        <v>206111</v>
      </c>
      <c r="C68" t="s">
        <v>864</v>
      </c>
      <c r="D68" s="358">
        <v>6825</v>
      </c>
      <c r="E68" s="355">
        <v>0</v>
      </c>
      <c r="F68" s="358">
        <v>16895.789473684203</v>
      </c>
      <c r="G68" s="355">
        <v>0</v>
      </c>
      <c r="H68" s="358">
        <v>5720</v>
      </c>
      <c r="I68" s="358"/>
      <c r="J68" s="358">
        <v>29440.789473684203</v>
      </c>
      <c r="K68" s="356"/>
      <c r="N68" t="s">
        <v>864</v>
      </c>
    </row>
    <row r="69" spans="1:14" x14ac:dyDescent="0.25">
      <c r="A69" s="359" t="s">
        <v>865</v>
      </c>
      <c r="B69" t="s">
        <v>866</v>
      </c>
      <c r="C69" t="s">
        <v>866</v>
      </c>
      <c r="D69" s="358">
        <v>5525</v>
      </c>
      <c r="E69" s="355">
        <v>0</v>
      </c>
      <c r="F69" s="358">
        <v>10058.336842105262</v>
      </c>
      <c r="G69" s="355">
        <v>0</v>
      </c>
      <c r="H69" s="358">
        <v>3960</v>
      </c>
      <c r="I69" s="358"/>
      <c r="J69" s="358">
        <v>19543.336842105262</v>
      </c>
      <c r="K69" s="356"/>
      <c r="N69" t="s">
        <v>866</v>
      </c>
    </row>
    <row r="70" spans="1:14" x14ac:dyDescent="0.25">
      <c r="A70" s="359" t="s">
        <v>340</v>
      </c>
      <c r="B70">
        <v>206091</v>
      </c>
      <c r="C70" t="s">
        <v>867</v>
      </c>
      <c r="D70" s="358">
        <v>2144.5757894736848</v>
      </c>
      <c r="E70" s="355">
        <v>0</v>
      </c>
      <c r="F70" s="358">
        <v>5458.297894736842</v>
      </c>
      <c r="G70" s="355">
        <v>0</v>
      </c>
      <c r="H70" s="358">
        <v>1814.7915789473689</v>
      </c>
      <c r="I70" s="358"/>
      <c r="J70" s="358">
        <v>9417.6652631578945</v>
      </c>
      <c r="K70" s="356"/>
      <c r="N70" t="s">
        <v>867</v>
      </c>
    </row>
    <row r="71" spans="1:14" x14ac:dyDescent="0.25">
      <c r="A71" s="359" t="s">
        <v>1017</v>
      </c>
      <c r="B71" t="s">
        <v>835</v>
      </c>
      <c r="C71" t="s">
        <v>835</v>
      </c>
      <c r="D71" s="358">
        <v>0</v>
      </c>
      <c r="E71" s="355">
        <v>0</v>
      </c>
      <c r="F71" s="358">
        <v>0</v>
      </c>
      <c r="G71" s="355">
        <v>0</v>
      </c>
      <c r="H71" s="358">
        <v>0</v>
      </c>
      <c r="I71" s="358"/>
      <c r="J71" s="358">
        <v>0</v>
      </c>
      <c r="K71" s="356"/>
      <c r="N71" t="s">
        <v>835</v>
      </c>
    </row>
    <row r="72" spans="1:14" x14ac:dyDescent="0.25">
      <c r="A72" s="359" t="s">
        <v>341</v>
      </c>
      <c r="B72">
        <v>206128</v>
      </c>
      <c r="C72" t="s">
        <v>868</v>
      </c>
      <c r="D72" s="358">
        <v>0</v>
      </c>
      <c r="E72" s="355">
        <v>0</v>
      </c>
      <c r="F72" s="358">
        <v>0</v>
      </c>
      <c r="G72" s="355">
        <v>0</v>
      </c>
      <c r="H72" s="358">
        <v>0</v>
      </c>
      <c r="I72" s="358"/>
      <c r="J72" s="358">
        <v>0</v>
      </c>
      <c r="K72" s="356"/>
      <c r="N72" t="s">
        <v>868</v>
      </c>
    </row>
    <row r="73" spans="1:14" x14ac:dyDescent="0.25">
      <c r="A73" s="359" t="s">
        <v>1357</v>
      </c>
      <c r="B73" t="s">
        <v>1358</v>
      </c>
      <c r="C73" t="s">
        <v>1358</v>
      </c>
      <c r="D73" s="358">
        <v>1170</v>
      </c>
      <c r="E73" s="355">
        <v>0</v>
      </c>
      <c r="F73" s="358">
        <v>1260</v>
      </c>
      <c r="G73" s="355">
        <v>0</v>
      </c>
      <c r="H73" s="358">
        <v>165</v>
      </c>
      <c r="I73" s="358"/>
      <c r="J73" s="358">
        <v>2595</v>
      </c>
      <c r="K73" s="356"/>
      <c r="N73" t="s">
        <v>869</v>
      </c>
    </row>
    <row r="74" spans="1:14" x14ac:dyDescent="0.25">
      <c r="A74" s="359" t="s">
        <v>342</v>
      </c>
      <c r="B74">
        <v>205999</v>
      </c>
      <c r="C74" t="s">
        <v>869</v>
      </c>
      <c r="D74" s="358">
        <v>390</v>
      </c>
      <c r="E74" s="355">
        <v>0</v>
      </c>
      <c r="F74" s="358">
        <v>840</v>
      </c>
      <c r="G74" s="355">
        <v>0</v>
      </c>
      <c r="H74" s="358">
        <v>165</v>
      </c>
      <c r="I74" s="358"/>
      <c r="J74" s="358">
        <v>1395</v>
      </c>
      <c r="K74" s="356"/>
      <c r="N74" t="s">
        <v>870</v>
      </c>
    </row>
    <row r="75" spans="1:14" x14ac:dyDescent="0.25">
      <c r="A75" s="359" t="s">
        <v>344</v>
      </c>
      <c r="B75" t="s">
        <v>343</v>
      </c>
      <c r="C75" t="s">
        <v>870</v>
      </c>
      <c r="D75" s="358">
        <v>585</v>
      </c>
      <c r="E75" s="355">
        <v>0</v>
      </c>
      <c r="F75" s="358">
        <v>756</v>
      </c>
      <c r="G75" s="355">
        <v>0</v>
      </c>
      <c r="H75" s="358">
        <v>330</v>
      </c>
      <c r="I75" s="358"/>
      <c r="J75" s="358">
        <v>1671</v>
      </c>
      <c r="K75" s="356"/>
      <c r="N75" t="s">
        <v>871</v>
      </c>
    </row>
    <row r="76" spans="1:14" x14ac:dyDescent="0.25">
      <c r="A76" s="359" t="s">
        <v>346</v>
      </c>
      <c r="B76" t="s">
        <v>345</v>
      </c>
      <c r="C76" t="s">
        <v>871</v>
      </c>
      <c r="D76" s="358">
        <v>1950</v>
      </c>
      <c r="E76" s="355">
        <v>0</v>
      </c>
      <c r="F76" s="358">
        <v>3360</v>
      </c>
      <c r="G76" s="355">
        <v>0</v>
      </c>
      <c r="H76" s="358">
        <v>1155</v>
      </c>
      <c r="I76" s="358"/>
      <c r="J76" s="358">
        <v>6465</v>
      </c>
      <c r="K76" s="356"/>
      <c r="N76" t="s">
        <v>872</v>
      </c>
    </row>
    <row r="77" spans="1:14" x14ac:dyDescent="0.25">
      <c r="A77" s="359" t="s">
        <v>347</v>
      </c>
      <c r="B77">
        <v>205921</v>
      </c>
      <c r="C77" t="s">
        <v>872</v>
      </c>
      <c r="D77" s="358">
        <v>195</v>
      </c>
      <c r="E77" s="355">
        <v>0</v>
      </c>
      <c r="F77" s="358">
        <v>336</v>
      </c>
      <c r="G77" s="355">
        <v>0</v>
      </c>
      <c r="H77" s="358">
        <v>330</v>
      </c>
      <c r="I77" s="358"/>
      <c r="J77" s="358">
        <v>861</v>
      </c>
      <c r="K77" s="356"/>
      <c r="N77" t="s">
        <v>873</v>
      </c>
    </row>
    <row r="78" spans="1:14" x14ac:dyDescent="0.25">
      <c r="A78" s="359" t="s">
        <v>348</v>
      </c>
      <c r="B78">
        <v>206011</v>
      </c>
      <c r="C78" t="s">
        <v>873</v>
      </c>
      <c r="D78" s="358">
        <v>195</v>
      </c>
      <c r="E78" s="355">
        <v>0</v>
      </c>
      <c r="F78" s="358">
        <v>0</v>
      </c>
      <c r="G78" s="355">
        <v>0</v>
      </c>
      <c r="H78" s="358">
        <v>0</v>
      </c>
      <c r="I78" s="358"/>
      <c r="J78" s="358">
        <v>195</v>
      </c>
      <c r="K78" s="356"/>
      <c r="N78" t="s">
        <v>874</v>
      </c>
    </row>
    <row r="79" spans="1:14" x14ac:dyDescent="0.25">
      <c r="A79" s="359" t="s">
        <v>349</v>
      </c>
      <c r="B79" t="s">
        <v>874</v>
      </c>
      <c r="C79" t="s">
        <v>874</v>
      </c>
      <c r="D79" s="358">
        <v>195</v>
      </c>
      <c r="E79" s="355">
        <v>0</v>
      </c>
      <c r="F79" s="358">
        <v>840</v>
      </c>
      <c r="G79" s="355">
        <v>0</v>
      </c>
      <c r="H79" s="358">
        <v>0</v>
      </c>
      <c r="I79" s="358"/>
      <c r="J79" s="358">
        <v>1035</v>
      </c>
      <c r="K79" s="356"/>
      <c r="N79" t="s">
        <v>875</v>
      </c>
    </row>
    <row r="80" spans="1:14" x14ac:dyDescent="0.25">
      <c r="A80" s="359" t="s">
        <v>353</v>
      </c>
      <c r="B80" t="s">
        <v>352</v>
      </c>
      <c r="C80" t="s">
        <v>875</v>
      </c>
      <c r="D80" s="358">
        <v>195</v>
      </c>
      <c r="E80" s="355">
        <v>0</v>
      </c>
      <c r="F80" s="358">
        <v>420</v>
      </c>
      <c r="G80" s="355">
        <v>0</v>
      </c>
      <c r="H80" s="358">
        <v>0</v>
      </c>
      <c r="I80" s="358"/>
      <c r="J80" s="358">
        <v>615</v>
      </c>
      <c r="K80" s="356"/>
      <c r="N80" t="s">
        <v>876</v>
      </c>
    </row>
    <row r="81" spans="1:14" x14ac:dyDescent="0.25">
      <c r="A81" s="359" t="s">
        <v>355</v>
      </c>
      <c r="B81" t="s">
        <v>354</v>
      </c>
      <c r="C81" t="s">
        <v>876</v>
      </c>
      <c r="D81" s="358">
        <v>195</v>
      </c>
      <c r="E81" s="355">
        <v>0</v>
      </c>
      <c r="F81" s="358">
        <v>420</v>
      </c>
      <c r="G81" s="355">
        <v>0</v>
      </c>
      <c r="H81" s="358">
        <v>165</v>
      </c>
      <c r="I81" s="358"/>
      <c r="J81" s="358">
        <v>780</v>
      </c>
      <c r="K81" s="356"/>
      <c r="N81" t="s">
        <v>877</v>
      </c>
    </row>
    <row r="82" spans="1:14" x14ac:dyDescent="0.25">
      <c r="A82" s="359" t="s">
        <v>357</v>
      </c>
      <c r="B82" t="s">
        <v>356</v>
      </c>
      <c r="C82" t="s">
        <v>877</v>
      </c>
      <c r="D82" s="358">
        <v>0</v>
      </c>
      <c r="E82" s="355">
        <v>0</v>
      </c>
      <c r="F82" s="358">
        <v>0</v>
      </c>
      <c r="G82" s="355">
        <v>0</v>
      </c>
      <c r="H82" s="358">
        <v>330</v>
      </c>
      <c r="I82" s="358"/>
      <c r="J82" s="358">
        <v>330</v>
      </c>
      <c r="K82" s="356"/>
      <c r="N82" t="s">
        <v>878</v>
      </c>
    </row>
    <row r="83" spans="1:14" x14ac:dyDescent="0.25">
      <c r="A83" s="359" t="s">
        <v>358</v>
      </c>
      <c r="B83">
        <v>2549324</v>
      </c>
      <c r="C83" t="s">
        <v>878</v>
      </c>
      <c r="D83" s="358">
        <v>2145</v>
      </c>
      <c r="E83" s="355">
        <v>0</v>
      </c>
      <c r="F83" s="358">
        <v>5460</v>
      </c>
      <c r="G83" s="355">
        <v>0</v>
      </c>
      <c r="H83" s="358">
        <v>1815</v>
      </c>
      <c r="I83" s="358"/>
      <c r="J83" s="358">
        <v>9420</v>
      </c>
      <c r="K83" s="356"/>
      <c r="N83" t="s">
        <v>880</v>
      </c>
    </row>
    <row r="84" spans="1:14" x14ac:dyDescent="0.25">
      <c r="A84" s="359" t="s">
        <v>879</v>
      </c>
      <c r="B84" t="s">
        <v>880</v>
      </c>
      <c r="C84" t="s">
        <v>880</v>
      </c>
      <c r="D84" s="358">
        <v>195</v>
      </c>
      <c r="E84" s="355">
        <v>0</v>
      </c>
      <c r="F84" s="358">
        <v>1732.5</v>
      </c>
      <c r="G84" s="355">
        <v>0</v>
      </c>
      <c r="H84" s="358">
        <v>165</v>
      </c>
      <c r="I84" s="358"/>
      <c r="J84" s="358">
        <v>2092.5</v>
      </c>
      <c r="K84" s="356"/>
      <c r="N84" t="s">
        <v>881</v>
      </c>
    </row>
    <row r="85" spans="1:14" x14ac:dyDescent="0.25">
      <c r="A85" s="359" t="s">
        <v>361</v>
      </c>
      <c r="B85">
        <v>2519477</v>
      </c>
      <c r="C85" t="s">
        <v>881</v>
      </c>
      <c r="D85" s="358">
        <v>390</v>
      </c>
      <c r="E85" s="355">
        <v>0</v>
      </c>
      <c r="F85" s="358">
        <v>294</v>
      </c>
      <c r="G85" s="355">
        <v>0</v>
      </c>
      <c r="H85" s="358">
        <v>330</v>
      </c>
      <c r="I85" s="358"/>
      <c r="J85" s="358">
        <v>1014</v>
      </c>
      <c r="K85" s="356"/>
      <c r="N85" t="s">
        <v>1019</v>
      </c>
    </row>
    <row r="86" spans="1:14" x14ac:dyDescent="0.25">
      <c r="A86" s="359" t="s">
        <v>1049</v>
      </c>
      <c r="B86" t="s">
        <v>1362</v>
      </c>
      <c r="C86" t="s">
        <v>1362</v>
      </c>
      <c r="D86" s="358">
        <v>195</v>
      </c>
      <c r="E86" s="355">
        <v>0</v>
      </c>
      <c r="F86" s="358">
        <v>420</v>
      </c>
      <c r="G86" s="355">
        <v>0</v>
      </c>
      <c r="H86" s="358">
        <v>165</v>
      </c>
      <c r="I86" s="358"/>
      <c r="J86" s="358">
        <v>780</v>
      </c>
      <c r="K86" s="356"/>
      <c r="N86" t="s">
        <v>882</v>
      </c>
    </row>
    <row r="87" spans="1:14" x14ac:dyDescent="0.25">
      <c r="A87" s="359" t="s">
        <v>1036</v>
      </c>
      <c r="B87" t="s">
        <v>1019</v>
      </c>
      <c r="C87" t="s">
        <v>1019</v>
      </c>
      <c r="D87" s="358">
        <v>0</v>
      </c>
      <c r="E87" s="355">
        <v>0</v>
      </c>
      <c r="F87" s="358">
        <v>0</v>
      </c>
      <c r="G87" s="355">
        <v>0</v>
      </c>
      <c r="H87" s="358">
        <v>0</v>
      </c>
      <c r="I87" s="358"/>
      <c r="J87" s="358">
        <v>0</v>
      </c>
      <c r="K87" s="356"/>
      <c r="N87" t="s">
        <v>884</v>
      </c>
    </row>
    <row r="88" spans="1:14" x14ac:dyDescent="0.25">
      <c r="A88" s="359" t="s">
        <v>365</v>
      </c>
      <c r="B88" t="s">
        <v>364</v>
      </c>
      <c r="C88" t="s">
        <v>882</v>
      </c>
      <c r="D88" s="358">
        <v>195</v>
      </c>
      <c r="E88" s="355">
        <v>0</v>
      </c>
      <c r="F88" s="358">
        <v>0</v>
      </c>
      <c r="G88" s="355">
        <v>0</v>
      </c>
      <c r="H88" s="358">
        <v>165</v>
      </c>
      <c r="I88" s="358"/>
      <c r="J88" s="358">
        <v>360</v>
      </c>
      <c r="K88" s="356"/>
      <c r="N88" t="s">
        <v>885</v>
      </c>
    </row>
    <row r="89" spans="1:14" x14ac:dyDescent="0.25">
      <c r="A89" s="359" t="s">
        <v>1368</v>
      </c>
      <c r="B89" t="s">
        <v>884</v>
      </c>
      <c r="C89" t="s">
        <v>884</v>
      </c>
      <c r="D89" s="358">
        <v>195</v>
      </c>
      <c r="E89" s="355">
        <v>0</v>
      </c>
      <c r="F89" s="358">
        <v>1680</v>
      </c>
      <c r="G89" s="355">
        <v>0</v>
      </c>
      <c r="H89" s="358">
        <v>0</v>
      </c>
      <c r="I89" s="358"/>
      <c r="J89" s="358">
        <v>1875</v>
      </c>
      <c r="K89" s="356"/>
      <c r="N89" t="s">
        <v>1037</v>
      </c>
    </row>
    <row r="90" spans="1:14" x14ac:dyDescent="0.25">
      <c r="A90" s="359" t="s">
        <v>366</v>
      </c>
      <c r="B90">
        <v>205852</v>
      </c>
      <c r="C90" t="s">
        <v>885</v>
      </c>
      <c r="D90" s="358">
        <v>585</v>
      </c>
      <c r="E90" s="355">
        <v>0</v>
      </c>
      <c r="F90" s="358">
        <v>1232</v>
      </c>
      <c r="G90" s="355">
        <v>0</v>
      </c>
      <c r="H90" s="358">
        <v>330</v>
      </c>
      <c r="I90" s="358"/>
      <c r="J90" s="358">
        <v>2147</v>
      </c>
      <c r="K90" s="356"/>
      <c r="N90" t="s">
        <v>886</v>
      </c>
    </row>
    <row r="91" spans="1:14" x14ac:dyDescent="0.25">
      <c r="A91" s="359" t="s">
        <v>368</v>
      </c>
      <c r="B91">
        <v>205922</v>
      </c>
      <c r="C91" t="s">
        <v>886</v>
      </c>
      <c r="D91" s="358">
        <v>780</v>
      </c>
      <c r="E91" s="355">
        <v>0</v>
      </c>
      <c r="F91" s="358">
        <v>2100</v>
      </c>
      <c r="G91" s="355">
        <v>0</v>
      </c>
      <c r="H91" s="358">
        <v>495</v>
      </c>
      <c r="I91" s="358"/>
      <c r="J91" s="358">
        <v>3375</v>
      </c>
      <c r="K91" s="356"/>
      <c r="N91" t="s">
        <v>887</v>
      </c>
    </row>
    <row r="92" spans="1:14" x14ac:dyDescent="0.25">
      <c r="A92" s="359" t="s">
        <v>1363</v>
      </c>
      <c r="B92" t="s">
        <v>1364</v>
      </c>
      <c r="C92" t="s">
        <v>1364</v>
      </c>
      <c r="D92" s="358">
        <v>0</v>
      </c>
      <c r="E92" s="355">
        <v>0</v>
      </c>
      <c r="F92" s="358">
        <v>812</v>
      </c>
      <c r="G92" s="355">
        <v>0</v>
      </c>
      <c r="H92" s="358">
        <v>0</v>
      </c>
      <c r="I92" s="358"/>
      <c r="J92" s="358">
        <v>812</v>
      </c>
      <c r="K92" s="356"/>
      <c r="N92" t="s">
        <v>888</v>
      </c>
    </row>
    <row r="93" spans="1:14" x14ac:dyDescent="0.25">
      <c r="A93" s="359" t="s">
        <v>370</v>
      </c>
      <c r="B93" t="s">
        <v>369</v>
      </c>
      <c r="C93" t="s">
        <v>887</v>
      </c>
      <c r="D93" s="358">
        <v>390</v>
      </c>
      <c r="E93" s="355">
        <v>0</v>
      </c>
      <c r="F93" s="358">
        <v>1260</v>
      </c>
      <c r="G93" s="355">
        <v>0</v>
      </c>
      <c r="H93" s="358">
        <v>495</v>
      </c>
      <c r="I93" s="358"/>
      <c r="J93" s="358">
        <v>2145</v>
      </c>
      <c r="K93" s="356"/>
      <c r="N93" t="s">
        <v>890</v>
      </c>
    </row>
    <row r="94" spans="1:14" x14ac:dyDescent="0.25">
      <c r="A94" s="359" t="s">
        <v>372</v>
      </c>
      <c r="B94" t="s">
        <v>371</v>
      </c>
      <c r="C94" t="s">
        <v>888</v>
      </c>
      <c r="D94" s="358">
        <v>585</v>
      </c>
      <c r="E94" s="355">
        <v>0</v>
      </c>
      <c r="F94" s="358">
        <v>630</v>
      </c>
      <c r="G94" s="355">
        <v>0</v>
      </c>
      <c r="H94" s="358">
        <v>495</v>
      </c>
      <c r="I94" s="358"/>
      <c r="J94" s="358">
        <v>1710</v>
      </c>
      <c r="K94" s="356"/>
      <c r="N94" t="s">
        <v>891</v>
      </c>
    </row>
    <row r="95" spans="1:14" x14ac:dyDescent="0.25">
      <c r="A95" s="359" t="s">
        <v>889</v>
      </c>
      <c r="B95" t="s">
        <v>1333</v>
      </c>
      <c r="C95" t="s">
        <v>1333</v>
      </c>
      <c r="D95" s="358">
        <v>507</v>
      </c>
      <c r="E95" s="355">
        <v>0</v>
      </c>
      <c r="F95" s="358">
        <v>630</v>
      </c>
      <c r="G95" s="355">
        <v>0</v>
      </c>
      <c r="H95" s="358">
        <v>594</v>
      </c>
      <c r="I95" s="358"/>
      <c r="J95" s="358">
        <v>1731</v>
      </c>
      <c r="K95" s="356"/>
      <c r="N95" t="s">
        <v>892</v>
      </c>
    </row>
    <row r="96" spans="1:14" x14ac:dyDescent="0.25">
      <c r="A96" s="359" t="s">
        <v>373</v>
      </c>
      <c r="B96">
        <v>205947</v>
      </c>
      <c r="C96" t="s">
        <v>891</v>
      </c>
      <c r="D96" s="358">
        <v>0</v>
      </c>
      <c r="E96" s="355">
        <v>0</v>
      </c>
      <c r="F96" s="358">
        <v>0</v>
      </c>
      <c r="G96" s="355">
        <v>0</v>
      </c>
      <c r="H96" s="358">
        <v>0</v>
      </c>
      <c r="I96" s="358"/>
      <c r="J96" s="358">
        <v>0</v>
      </c>
      <c r="K96" s="356"/>
      <c r="N96" t="s">
        <v>893</v>
      </c>
    </row>
    <row r="97" spans="1:14" x14ac:dyDescent="0.25">
      <c r="A97" s="359" t="s">
        <v>376</v>
      </c>
      <c r="B97" t="s">
        <v>375</v>
      </c>
      <c r="C97" t="s">
        <v>892</v>
      </c>
      <c r="D97" s="358">
        <v>195</v>
      </c>
      <c r="E97" s="355">
        <v>0</v>
      </c>
      <c r="F97" s="358">
        <v>0</v>
      </c>
      <c r="G97" s="355">
        <v>0</v>
      </c>
      <c r="H97" s="358">
        <v>165</v>
      </c>
      <c r="I97" s="358"/>
      <c r="J97" s="358">
        <v>360</v>
      </c>
      <c r="K97" s="356"/>
      <c r="N97" t="s">
        <v>1039</v>
      </c>
    </row>
    <row r="98" spans="1:14" x14ac:dyDescent="0.25">
      <c r="A98" s="359" t="s">
        <v>374</v>
      </c>
      <c r="B98" t="s">
        <v>893</v>
      </c>
      <c r="C98" t="s">
        <v>893</v>
      </c>
      <c r="D98" s="358">
        <v>0</v>
      </c>
      <c r="E98" s="355">
        <v>0</v>
      </c>
      <c r="F98" s="358">
        <v>0</v>
      </c>
      <c r="G98" s="355">
        <v>0</v>
      </c>
      <c r="H98" s="358">
        <v>0</v>
      </c>
      <c r="I98" s="358"/>
      <c r="J98" s="358">
        <v>0</v>
      </c>
      <c r="K98" s="356"/>
      <c r="N98" t="s">
        <v>894</v>
      </c>
    </row>
    <row r="99" spans="1:14" x14ac:dyDescent="0.25">
      <c r="A99" s="359" t="s">
        <v>1051</v>
      </c>
      <c r="B99" t="s">
        <v>1039</v>
      </c>
      <c r="C99" t="s">
        <v>1039</v>
      </c>
      <c r="D99" s="358">
        <v>390</v>
      </c>
      <c r="E99" s="355">
        <v>0</v>
      </c>
      <c r="F99" s="358">
        <v>502.8947368421052</v>
      </c>
      <c r="G99" s="355">
        <v>0</v>
      </c>
      <c r="H99" s="358">
        <v>148.5</v>
      </c>
      <c r="I99" s="358"/>
      <c r="J99" s="358">
        <v>1041.3947368421052</v>
      </c>
      <c r="K99" s="356"/>
      <c r="N99" t="s">
        <v>895</v>
      </c>
    </row>
    <row r="100" spans="1:14" x14ac:dyDescent="0.25">
      <c r="A100" s="359" t="s">
        <v>1052</v>
      </c>
      <c r="B100" t="s">
        <v>379</v>
      </c>
      <c r="C100" t="s">
        <v>894</v>
      </c>
      <c r="D100" s="358">
        <v>390</v>
      </c>
      <c r="E100" s="355">
        <v>0</v>
      </c>
      <c r="F100" s="358">
        <v>420</v>
      </c>
      <c r="G100" s="355">
        <v>0</v>
      </c>
      <c r="H100" s="358">
        <v>165</v>
      </c>
      <c r="I100" s="358"/>
      <c r="J100" s="358">
        <v>975</v>
      </c>
      <c r="K100" s="356"/>
      <c r="N100" t="s">
        <v>896</v>
      </c>
    </row>
    <row r="101" spans="1:14" x14ac:dyDescent="0.25">
      <c r="A101" s="359" t="s">
        <v>383</v>
      </c>
      <c r="B101" t="s">
        <v>382</v>
      </c>
      <c r="C101" t="s">
        <v>895</v>
      </c>
      <c r="D101" s="358">
        <v>195</v>
      </c>
      <c r="E101" s="355">
        <v>0</v>
      </c>
      <c r="F101" s="358">
        <v>840</v>
      </c>
      <c r="G101" s="355">
        <v>0</v>
      </c>
      <c r="H101" s="358">
        <v>0</v>
      </c>
      <c r="I101" s="358"/>
      <c r="J101" s="358">
        <v>1035</v>
      </c>
      <c r="K101" s="356"/>
      <c r="N101" t="s">
        <v>897</v>
      </c>
    </row>
    <row r="102" spans="1:14" x14ac:dyDescent="0.25">
      <c r="A102" s="359" t="s">
        <v>385</v>
      </c>
      <c r="B102" t="s">
        <v>384</v>
      </c>
      <c r="C102" t="s">
        <v>896</v>
      </c>
      <c r="D102" s="358">
        <v>390</v>
      </c>
      <c r="E102" s="355">
        <v>0</v>
      </c>
      <c r="F102" s="358">
        <v>602</v>
      </c>
      <c r="G102" s="355">
        <v>0</v>
      </c>
      <c r="H102" s="358">
        <v>330</v>
      </c>
      <c r="I102" s="358"/>
      <c r="J102" s="358">
        <v>1322</v>
      </c>
      <c r="K102" s="356"/>
      <c r="N102" t="s">
        <v>898</v>
      </c>
    </row>
    <row r="103" spans="1:14" x14ac:dyDescent="0.25">
      <c r="A103" s="359" t="s">
        <v>387</v>
      </c>
      <c r="B103" t="s">
        <v>386</v>
      </c>
      <c r="C103" t="s">
        <v>897</v>
      </c>
      <c r="D103" s="358">
        <v>195</v>
      </c>
      <c r="E103" s="355">
        <v>0</v>
      </c>
      <c r="F103" s="358">
        <v>1540</v>
      </c>
      <c r="G103" s="355">
        <v>0</v>
      </c>
      <c r="H103" s="358">
        <v>495</v>
      </c>
      <c r="I103" s="358"/>
      <c r="J103" s="358">
        <v>2230</v>
      </c>
      <c r="K103" s="356"/>
      <c r="N103" t="s">
        <v>899</v>
      </c>
    </row>
    <row r="104" spans="1:14" x14ac:dyDescent="0.25">
      <c r="A104" s="359" t="s">
        <v>755</v>
      </c>
      <c r="B104" t="s">
        <v>898</v>
      </c>
      <c r="C104" t="s">
        <v>898</v>
      </c>
      <c r="D104" s="358">
        <v>0</v>
      </c>
      <c r="E104" s="355">
        <v>0</v>
      </c>
      <c r="F104" s="358">
        <v>0</v>
      </c>
      <c r="G104" s="355">
        <v>0</v>
      </c>
      <c r="H104" s="358">
        <v>0</v>
      </c>
      <c r="I104" s="358"/>
      <c r="J104" s="358">
        <v>0</v>
      </c>
      <c r="K104" s="356"/>
      <c r="N104" t="s">
        <v>900</v>
      </c>
    </row>
    <row r="105" spans="1:14" x14ac:dyDescent="0.25">
      <c r="A105" s="359" t="s">
        <v>754</v>
      </c>
      <c r="B105" t="s">
        <v>899</v>
      </c>
      <c r="C105" t="s">
        <v>899</v>
      </c>
      <c r="D105" s="358">
        <v>0</v>
      </c>
      <c r="E105" s="355">
        <v>0</v>
      </c>
      <c r="F105" s="358">
        <v>196</v>
      </c>
      <c r="G105" s="355">
        <v>0</v>
      </c>
      <c r="H105" s="358">
        <v>0</v>
      </c>
      <c r="I105" s="358"/>
      <c r="J105" s="358">
        <v>196</v>
      </c>
      <c r="K105" s="356"/>
      <c r="N105" t="s">
        <v>901</v>
      </c>
    </row>
    <row r="106" spans="1:14" x14ac:dyDescent="0.25">
      <c r="A106" s="359" t="s">
        <v>390</v>
      </c>
      <c r="B106">
        <v>639307</v>
      </c>
      <c r="C106" t="s">
        <v>900</v>
      </c>
      <c r="D106" s="358">
        <v>585</v>
      </c>
      <c r="E106" s="355">
        <v>0</v>
      </c>
      <c r="F106" s="358">
        <v>1463</v>
      </c>
      <c r="G106" s="355">
        <v>0</v>
      </c>
      <c r="H106" s="358">
        <v>165</v>
      </c>
      <c r="I106" s="358"/>
      <c r="J106" s="358">
        <v>2213</v>
      </c>
      <c r="K106" s="356"/>
      <c r="N106" t="s">
        <v>902</v>
      </c>
    </row>
    <row r="107" spans="1:14" x14ac:dyDescent="0.25">
      <c r="A107" s="359" t="s">
        <v>391</v>
      </c>
      <c r="B107" t="s">
        <v>901</v>
      </c>
      <c r="C107" t="s">
        <v>901</v>
      </c>
      <c r="D107" s="358">
        <v>390</v>
      </c>
      <c r="E107" s="355">
        <v>0</v>
      </c>
      <c r="F107" s="358">
        <v>840</v>
      </c>
      <c r="G107" s="355">
        <v>0</v>
      </c>
      <c r="H107" s="358">
        <v>330</v>
      </c>
      <c r="I107" s="358"/>
      <c r="J107" s="358">
        <v>1560</v>
      </c>
      <c r="K107" s="356"/>
      <c r="N107" t="s">
        <v>903</v>
      </c>
    </row>
    <row r="108" spans="1:14" x14ac:dyDescent="0.25">
      <c r="A108" s="359" t="s">
        <v>392</v>
      </c>
      <c r="B108" t="s">
        <v>902</v>
      </c>
      <c r="C108" t="s">
        <v>902</v>
      </c>
      <c r="D108" s="358">
        <v>975</v>
      </c>
      <c r="E108" s="355">
        <v>0</v>
      </c>
      <c r="F108" s="358">
        <v>2940</v>
      </c>
      <c r="G108" s="355">
        <v>0</v>
      </c>
      <c r="H108" s="358">
        <v>660</v>
      </c>
      <c r="I108" s="358"/>
      <c r="J108" s="358">
        <v>4575</v>
      </c>
      <c r="K108" s="356"/>
      <c r="N108" t="s">
        <v>905</v>
      </c>
    </row>
    <row r="109" spans="1:14" x14ac:dyDescent="0.25">
      <c r="A109" s="359" t="s">
        <v>393</v>
      </c>
      <c r="B109">
        <v>2559906</v>
      </c>
      <c r="C109" t="s">
        <v>903</v>
      </c>
      <c r="D109" s="358">
        <v>0</v>
      </c>
      <c r="E109" s="355">
        <v>0</v>
      </c>
      <c r="F109" s="358">
        <v>392</v>
      </c>
      <c r="G109" s="355">
        <v>0</v>
      </c>
      <c r="H109" s="358">
        <v>0</v>
      </c>
      <c r="I109" s="358"/>
      <c r="J109" s="358">
        <v>392</v>
      </c>
      <c r="K109" s="356"/>
      <c r="N109" t="s">
        <v>1041</v>
      </c>
    </row>
    <row r="110" spans="1:14" x14ac:dyDescent="0.25">
      <c r="A110" s="359" t="s">
        <v>904</v>
      </c>
      <c r="B110" t="s">
        <v>905</v>
      </c>
      <c r="C110" t="s">
        <v>905</v>
      </c>
      <c r="D110" s="358">
        <v>325</v>
      </c>
      <c r="E110" s="355">
        <v>0</v>
      </c>
      <c r="F110" s="358">
        <v>819</v>
      </c>
      <c r="G110" s="355">
        <v>0</v>
      </c>
      <c r="H110" s="358">
        <v>275</v>
      </c>
      <c r="I110" s="358"/>
      <c r="J110" s="358">
        <v>1419</v>
      </c>
      <c r="K110" s="356"/>
      <c r="N110" t="s">
        <v>906</v>
      </c>
    </row>
    <row r="111" spans="1:14" x14ac:dyDescent="0.25">
      <c r="A111" s="359" t="s">
        <v>1040</v>
      </c>
      <c r="B111" t="s">
        <v>1041</v>
      </c>
      <c r="C111" t="s">
        <v>1041</v>
      </c>
      <c r="D111" s="358">
        <v>195</v>
      </c>
      <c r="E111" s="355">
        <v>0</v>
      </c>
      <c r="F111" s="358">
        <v>420</v>
      </c>
      <c r="G111" s="355">
        <v>0</v>
      </c>
      <c r="H111" s="358">
        <v>165</v>
      </c>
      <c r="I111" s="358"/>
      <c r="J111" s="358">
        <v>780</v>
      </c>
      <c r="K111" s="356"/>
      <c r="N111" t="s">
        <v>907</v>
      </c>
    </row>
    <row r="112" spans="1:14" x14ac:dyDescent="0.25">
      <c r="A112" s="359" t="s">
        <v>398</v>
      </c>
      <c r="B112" t="s">
        <v>397</v>
      </c>
      <c r="C112" t="s">
        <v>906</v>
      </c>
      <c r="D112" s="358">
        <v>130</v>
      </c>
      <c r="E112" s="355">
        <v>0</v>
      </c>
      <c r="F112" s="358">
        <v>658</v>
      </c>
      <c r="G112" s="355">
        <v>0</v>
      </c>
      <c r="H112" s="358">
        <v>99</v>
      </c>
      <c r="I112" s="358"/>
      <c r="J112" s="358">
        <v>887</v>
      </c>
      <c r="K112" s="356"/>
      <c r="N112" t="s">
        <v>908</v>
      </c>
    </row>
    <row r="113" spans="1:14" x14ac:dyDescent="0.25">
      <c r="A113" s="359" t="s">
        <v>400</v>
      </c>
      <c r="B113" t="s">
        <v>399</v>
      </c>
      <c r="C113" t="s">
        <v>907</v>
      </c>
      <c r="D113" s="358">
        <v>195</v>
      </c>
      <c r="E113" s="355">
        <v>0</v>
      </c>
      <c r="F113" s="358">
        <v>896</v>
      </c>
      <c r="G113" s="355">
        <v>0</v>
      </c>
      <c r="H113" s="358">
        <v>165</v>
      </c>
      <c r="I113" s="358"/>
      <c r="J113" s="358">
        <v>1256</v>
      </c>
      <c r="K113" s="356"/>
      <c r="N113" t="s">
        <v>909</v>
      </c>
    </row>
    <row r="114" spans="1:14" x14ac:dyDescent="0.25">
      <c r="A114" s="359" t="s">
        <v>401</v>
      </c>
      <c r="B114">
        <v>205881</v>
      </c>
      <c r="C114" t="s">
        <v>908</v>
      </c>
      <c r="D114" s="358">
        <v>975</v>
      </c>
      <c r="E114" s="355">
        <v>0</v>
      </c>
      <c r="F114" s="358">
        <v>2240</v>
      </c>
      <c r="G114" s="355">
        <v>0</v>
      </c>
      <c r="H114" s="358">
        <v>990</v>
      </c>
      <c r="I114" s="358"/>
      <c r="J114" s="358">
        <v>4205</v>
      </c>
      <c r="K114" s="356"/>
      <c r="N114" t="s">
        <v>910</v>
      </c>
    </row>
    <row r="115" spans="1:14" x14ac:dyDescent="0.25">
      <c r="A115" s="359" t="s">
        <v>403</v>
      </c>
      <c r="B115" t="s">
        <v>402</v>
      </c>
      <c r="C115" t="s">
        <v>909</v>
      </c>
      <c r="D115" s="358">
        <v>0</v>
      </c>
      <c r="E115" s="355">
        <v>0</v>
      </c>
      <c r="F115" s="358">
        <v>0</v>
      </c>
      <c r="G115" s="355">
        <v>0</v>
      </c>
      <c r="H115" s="358">
        <v>165</v>
      </c>
      <c r="I115" s="358"/>
      <c r="J115" s="358">
        <v>165</v>
      </c>
      <c r="K115" s="356"/>
      <c r="N115" t="s">
        <v>911</v>
      </c>
    </row>
    <row r="116" spans="1:14" x14ac:dyDescent="0.25">
      <c r="A116" s="359" t="s">
        <v>405</v>
      </c>
      <c r="B116" t="s">
        <v>404</v>
      </c>
      <c r="C116" t="s">
        <v>910</v>
      </c>
      <c r="D116" s="358">
        <v>0</v>
      </c>
      <c r="E116" s="355">
        <v>0</v>
      </c>
      <c r="F116" s="358">
        <v>420</v>
      </c>
      <c r="G116" s="355">
        <v>0</v>
      </c>
      <c r="H116" s="358">
        <v>330</v>
      </c>
      <c r="I116" s="358"/>
      <c r="J116" s="358">
        <v>750</v>
      </c>
      <c r="K116" s="356"/>
      <c r="N116" t="s">
        <v>1022</v>
      </c>
    </row>
    <row r="117" spans="1:14" x14ac:dyDescent="0.25">
      <c r="A117" s="359" t="s">
        <v>407</v>
      </c>
      <c r="B117" t="s">
        <v>406</v>
      </c>
      <c r="C117" t="s">
        <v>911</v>
      </c>
      <c r="D117" s="358">
        <v>195</v>
      </c>
      <c r="E117" s="355">
        <v>0</v>
      </c>
      <c r="F117" s="358">
        <v>504</v>
      </c>
      <c r="G117" s="355">
        <v>0</v>
      </c>
      <c r="H117" s="358">
        <v>330</v>
      </c>
      <c r="I117" s="358"/>
      <c r="J117" s="358">
        <v>1029</v>
      </c>
      <c r="K117" s="356"/>
      <c r="N117" t="s">
        <v>912</v>
      </c>
    </row>
    <row r="118" spans="1:14" x14ac:dyDescent="0.25">
      <c r="A118" s="359" t="s">
        <v>408</v>
      </c>
      <c r="B118" t="s">
        <v>1022</v>
      </c>
      <c r="C118" t="s">
        <v>1022</v>
      </c>
      <c r="D118" s="358">
        <v>0</v>
      </c>
      <c r="E118" s="355">
        <v>0</v>
      </c>
      <c r="F118" s="358">
        <v>0</v>
      </c>
      <c r="G118" s="355">
        <v>0</v>
      </c>
      <c r="H118" s="358">
        <v>0</v>
      </c>
      <c r="I118" s="358"/>
      <c r="J118" s="358">
        <v>0</v>
      </c>
      <c r="K118" s="356"/>
      <c r="N118" t="s">
        <v>1024</v>
      </c>
    </row>
    <row r="119" spans="1:14" x14ac:dyDescent="0.25">
      <c r="A119" s="359" t="s">
        <v>410</v>
      </c>
      <c r="B119" t="s">
        <v>409</v>
      </c>
      <c r="C119" t="s">
        <v>912</v>
      </c>
      <c r="D119" s="358">
        <v>273</v>
      </c>
      <c r="E119" s="355">
        <v>0</v>
      </c>
      <c r="F119" s="358">
        <v>686</v>
      </c>
      <c r="G119" s="355">
        <v>0</v>
      </c>
      <c r="H119" s="358">
        <v>110</v>
      </c>
      <c r="I119" s="358"/>
      <c r="J119" s="358">
        <v>1069</v>
      </c>
      <c r="K119" s="356"/>
      <c r="N119" t="s">
        <v>1042</v>
      </c>
    </row>
    <row r="120" spans="1:14" x14ac:dyDescent="0.25">
      <c r="A120" s="359" t="s">
        <v>1023</v>
      </c>
      <c r="B120" t="s">
        <v>1336</v>
      </c>
      <c r="C120" t="s">
        <v>1336</v>
      </c>
      <c r="D120" s="358">
        <v>195</v>
      </c>
      <c r="E120" s="355">
        <v>0</v>
      </c>
      <c r="F120" s="358">
        <v>0</v>
      </c>
      <c r="G120" s="355">
        <v>0</v>
      </c>
      <c r="H120" s="358">
        <v>165</v>
      </c>
      <c r="I120" s="358"/>
      <c r="J120" s="358">
        <v>360</v>
      </c>
      <c r="K120" s="356"/>
      <c r="N120" t="s">
        <v>913</v>
      </c>
    </row>
    <row r="121" spans="1:14" x14ac:dyDescent="0.25">
      <c r="A121" s="359" t="s">
        <v>1337</v>
      </c>
      <c r="B121" s="375" t="s">
        <v>1338</v>
      </c>
      <c r="C121" s="375" t="s">
        <v>1338</v>
      </c>
      <c r="D121" s="358">
        <v>0</v>
      </c>
      <c r="E121" s="355">
        <v>0</v>
      </c>
      <c r="F121" s="358">
        <v>616</v>
      </c>
      <c r="G121" s="355">
        <v>0</v>
      </c>
      <c r="H121" s="358">
        <v>0</v>
      </c>
      <c r="I121" s="358"/>
      <c r="J121" s="358">
        <v>616</v>
      </c>
      <c r="K121" s="356"/>
      <c r="N121" t="s">
        <v>914</v>
      </c>
    </row>
    <row r="122" spans="1:14" x14ac:dyDescent="0.25">
      <c r="A122" s="359" t="s">
        <v>416</v>
      </c>
      <c r="B122" t="s">
        <v>913</v>
      </c>
      <c r="C122" t="s">
        <v>913</v>
      </c>
      <c r="D122" s="358">
        <v>390</v>
      </c>
      <c r="E122" s="355">
        <v>0</v>
      </c>
      <c r="F122" s="358">
        <v>1645</v>
      </c>
      <c r="G122" s="355">
        <v>0</v>
      </c>
      <c r="H122" s="358">
        <v>330</v>
      </c>
      <c r="I122" s="358"/>
      <c r="J122" s="358">
        <v>2365</v>
      </c>
      <c r="K122" s="356"/>
      <c r="N122" t="s">
        <v>916</v>
      </c>
    </row>
    <row r="123" spans="1:14" x14ac:dyDescent="0.25">
      <c r="A123" s="359" t="s">
        <v>411</v>
      </c>
      <c r="B123" t="s">
        <v>1042</v>
      </c>
      <c r="C123" t="s">
        <v>1042</v>
      </c>
      <c r="D123" s="358">
        <v>0</v>
      </c>
      <c r="E123" s="355">
        <v>0</v>
      </c>
      <c r="F123" s="358">
        <v>420</v>
      </c>
      <c r="G123" s="355">
        <v>0</v>
      </c>
      <c r="H123" s="358">
        <v>0</v>
      </c>
      <c r="I123" s="358"/>
      <c r="J123" s="358">
        <v>420</v>
      </c>
      <c r="K123" s="356"/>
      <c r="N123" t="s">
        <v>918</v>
      </c>
    </row>
    <row r="124" spans="1:14" x14ac:dyDescent="0.25">
      <c r="A124" s="359" t="s">
        <v>418</v>
      </c>
      <c r="B124" t="s">
        <v>1360</v>
      </c>
      <c r="C124" t="s">
        <v>1360</v>
      </c>
      <c r="D124" s="358">
        <v>195</v>
      </c>
      <c r="E124" s="355">
        <v>0</v>
      </c>
      <c r="F124" s="358">
        <v>406</v>
      </c>
      <c r="G124" s="355">
        <v>0</v>
      </c>
      <c r="H124" s="358">
        <v>0</v>
      </c>
      <c r="I124" s="358"/>
      <c r="J124" s="358">
        <v>601</v>
      </c>
      <c r="K124" s="356"/>
      <c r="N124" t="s">
        <v>919</v>
      </c>
    </row>
    <row r="125" spans="1:14" x14ac:dyDescent="0.25">
      <c r="A125" s="359" t="s">
        <v>421</v>
      </c>
      <c r="B125">
        <v>205878</v>
      </c>
      <c r="C125" t="s">
        <v>914</v>
      </c>
      <c r="D125" s="358">
        <v>780</v>
      </c>
      <c r="E125" s="355">
        <v>0</v>
      </c>
      <c r="F125" s="358">
        <v>840</v>
      </c>
      <c r="G125" s="355">
        <v>0</v>
      </c>
      <c r="H125" s="358">
        <v>660</v>
      </c>
      <c r="I125" s="358"/>
      <c r="J125" s="358">
        <v>2280</v>
      </c>
      <c r="K125" s="356"/>
      <c r="N125" t="s">
        <v>920</v>
      </c>
    </row>
    <row r="126" spans="1:14" x14ac:dyDescent="0.25">
      <c r="A126" s="359" t="s">
        <v>915</v>
      </c>
      <c r="B126" t="s">
        <v>916</v>
      </c>
      <c r="C126" t="s">
        <v>916</v>
      </c>
      <c r="D126" s="358">
        <v>577.19999999999993</v>
      </c>
      <c r="E126" s="355">
        <v>0</v>
      </c>
      <c r="F126" s="358">
        <v>994</v>
      </c>
      <c r="G126" s="355">
        <v>0</v>
      </c>
      <c r="H126" s="358">
        <v>88</v>
      </c>
      <c r="I126" s="358"/>
      <c r="J126" s="358">
        <v>1659.1999999999998</v>
      </c>
      <c r="K126" s="356"/>
      <c r="N126" t="s">
        <v>921</v>
      </c>
    </row>
    <row r="127" spans="1:14" x14ac:dyDescent="0.25">
      <c r="A127" s="359" t="s">
        <v>917</v>
      </c>
      <c r="B127" t="s">
        <v>918</v>
      </c>
      <c r="C127" t="s">
        <v>918</v>
      </c>
      <c r="D127" s="358">
        <v>390</v>
      </c>
      <c r="E127" s="355">
        <v>0</v>
      </c>
      <c r="F127" s="358">
        <v>384.3</v>
      </c>
      <c r="G127" s="355">
        <v>0</v>
      </c>
      <c r="H127" s="358">
        <v>330</v>
      </c>
      <c r="I127" s="358"/>
      <c r="J127" s="358">
        <v>1104.3</v>
      </c>
      <c r="K127" s="356"/>
      <c r="N127" t="s">
        <v>679</v>
      </c>
    </row>
    <row r="128" spans="1:14" x14ac:dyDescent="0.25">
      <c r="A128" s="359" t="s">
        <v>423</v>
      </c>
      <c r="B128" t="s">
        <v>422</v>
      </c>
      <c r="C128" t="s">
        <v>919</v>
      </c>
      <c r="D128" s="358">
        <v>195</v>
      </c>
      <c r="E128" s="355">
        <v>0</v>
      </c>
      <c r="F128" s="358">
        <v>420</v>
      </c>
      <c r="G128" s="355">
        <v>0</v>
      </c>
      <c r="H128" s="358">
        <v>330</v>
      </c>
      <c r="I128" s="358"/>
      <c r="J128" s="358">
        <v>945</v>
      </c>
      <c r="K128" s="356"/>
      <c r="N128" t="s">
        <v>922</v>
      </c>
    </row>
    <row r="129" spans="1:14" x14ac:dyDescent="0.25">
      <c r="A129" s="359" t="s">
        <v>425</v>
      </c>
      <c r="B129" t="s">
        <v>424</v>
      </c>
      <c r="C129" t="s">
        <v>920</v>
      </c>
      <c r="D129" s="358">
        <v>195</v>
      </c>
      <c r="E129" s="355">
        <v>0</v>
      </c>
      <c r="F129" s="358">
        <v>714</v>
      </c>
      <c r="G129" s="355">
        <v>0</v>
      </c>
      <c r="H129" s="358">
        <v>165</v>
      </c>
      <c r="I129" s="358"/>
      <c r="J129" s="358">
        <v>1074</v>
      </c>
      <c r="K129" s="356"/>
      <c r="N129" t="s">
        <v>923</v>
      </c>
    </row>
    <row r="130" spans="1:14" x14ac:dyDescent="0.25">
      <c r="A130" s="359" t="s">
        <v>426</v>
      </c>
      <c r="B130" t="s">
        <v>921</v>
      </c>
      <c r="C130" t="s">
        <v>921</v>
      </c>
      <c r="D130" s="358">
        <v>195</v>
      </c>
      <c r="E130" s="355">
        <v>0</v>
      </c>
      <c r="F130" s="358">
        <v>0</v>
      </c>
      <c r="G130" s="355">
        <v>0</v>
      </c>
      <c r="H130" s="358">
        <v>110</v>
      </c>
      <c r="I130" s="358"/>
      <c r="J130" s="358">
        <v>305</v>
      </c>
      <c r="K130" s="356"/>
      <c r="N130" t="s">
        <v>681</v>
      </c>
    </row>
    <row r="131" spans="1:14" x14ac:dyDescent="0.25">
      <c r="A131" s="359" t="s">
        <v>427</v>
      </c>
      <c r="B131" t="s">
        <v>679</v>
      </c>
      <c r="C131" t="s">
        <v>679</v>
      </c>
      <c r="D131" s="358">
        <v>585</v>
      </c>
      <c r="E131" s="355">
        <v>0</v>
      </c>
      <c r="F131" s="358">
        <v>1680</v>
      </c>
      <c r="G131" s="355">
        <v>0</v>
      </c>
      <c r="H131" s="358">
        <v>660</v>
      </c>
      <c r="I131" s="358"/>
      <c r="J131" s="358">
        <v>2925</v>
      </c>
      <c r="K131" s="356"/>
      <c r="N131" t="s">
        <v>924</v>
      </c>
    </row>
    <row r="132" spans="1:14" x14ac:dyDescent="0.25">
      <c r="A132" s="359" t="s">
        <v>431</v>
      </c>
      <c r="B132" t="s">
        <v>430</v>
      </c>
      <c r="C132" t="s">
        <v>922</v>
      </c>
      <c r="D132" s="358">
        <v>390</v>
      </c>
      <c r="E132" s="355">
        <v>0</v>
      </c>
      <c r="F132" s="358">
        <v>1722</v>
      </c>
      <c r="G132" s="355">
        <v>0</v>
      </c>
      <c r="H132" s="358">
        <v>462</v>
      </c>
      <c r="I132" s="358"/>
      <c r="J132" s="358">
        <v>2574</v>
      </c>
      <c r="K132" s="356"/>
      <c r="N132" t="s">
        <v>925</v>
      </c>
    </row>
    <row r="133" spans="1:14" x14ac:dyDescent="0.25">
      <c r="A133" s="359" t="s">
        <v>433</v>
      </c>
      <c r="B133" t="s">
        <v>432</v>
      </c>
      <c r="C133" t="s">
        <v>923</v>
      </c>
      <c r="D133" s="358">
        <v>195</v>
      </c>
      <c r="E133" s="355">
        <v>0</v>
      </c>
      <c r="F133" s="358">
        <v>420</v>
      </c>
      <c r="G133" s="355">
        <v>0</v>
      </c>
      <c r="H133" s="358">
        <v>165</v>
      </c>
      <c r="I133" s="358"/>
      <c r="J133" s="358">
        <v>780</v>
      </c>
      <c r="K133" s="356"/>
      <c r="N133" t="s">
        <v>926</v>
      </c>
    </row>
    <row r="134" spans="1:14" x14ac:dyDescent="0.25">
      <c r="A134" s="359" t="s">
        <v>435</v>
      </c>
      <c r="B134" t="s">
        <v>681</v>
      </c>
      <c r="C134" t="s">
        <v>681</v>
      </c>
      <c r="D134" s="358">
        <v>471.25</v>
      </c>
      <c r="E134" s="355">
        <v>0</v>
      </c>
      <c r="F134" s="358">
        <v>560</v>
      </c>
      <c r="G134" s="355">
        <v>0</v>
      </c>
      <c r="H134" s="358">
        <v>288.75</v>
      </c>
      <c r="I134" s="358"/>
      <c r="J134" s="358">
        <v>1320</v>
      </c>
      <c r="K134" s="356"/>
      <c r="N134" t="s">
        <v>927</v>
      </c>
    </row>
    <row r="135" spans="1:14" x14ac:dyDescent="0.25">
      <c r="A135" s="359" t="s">
        <v>437</v>
      </c>
      <c r="B135" t="s">
        <v>436</v>
      </c>
      <c r="C135" t="s">
        <v>924</v>
      </c>
      <c r="D135" s="358">
        <v>390</v>
      </c>
      <c r="E135" s="355">
        <v>0</v>
      </c>
      <c r="F135" s="358">
        <v>420</v>
      </c>
      <c r="G135" s="355">
        <v>0</v>
      </c>
      <c r="H135" s="358">
        <v>495</v>
      </c>
      <c r="I135" s="358"/>
      <c r="J135" s="358">
        <v>1305</v>
      </c>
      <c r="K135" s="356"/>
      <c r="N135" t="s">
        <v>928</v>
      </c>
    </row>
    <row r="136" spans="1:14" x14ac:dyDescent="0.25">
      <c r="A136" s="359" t="s">
        <v>441</v>
      </c>
      <c r="B136" t="s">
        <v>440</v>
      </c>
      <c r="C136" t="s">
        <v>925</v>
      </c>
      <c r="D136" s="358">
        <v>390</v>
      </c>
      <c r="E136" s="355">
        <v>0</v>
      </c>
      <c r="F136" s="358">
        <v>1449</v>
      </c>
      <c r="G136" s="355">
        <v>0</v>
      </c>
      <c r="H136" s="358">
        <v>165</v>
      </c>
      <c r="I136" s="358"/>
      <c r="J136" s="358">
        <v>2004</v>
      </c>
      <c r="K136" s="356"/>
      <c r="N136" t="s">
        <v>929</v>
      </c>
    </row>
    <row r="137" spans="1:14" x14ac:dyDescent="0.25">
      <c r="A137" s="359" t="s">
        <v>443</v>
      </c>
      <c r="B137" t="s">
        <v>442</v>
      </c>
      <c r="C137" t="s">
        <v>926</v>
      </c>
      <c r="D137" s="358">
        <v>585</v>
      </c>
      <c r="E137" s="355">
        <v>0</v>
      </c>
      <c r="F137" s="358">
        <v>1025.3157894736842</v>
      </c>
      <c r="G137" s="355">
        <v>0</v>
      </c>
      <c r="H137" s="358">
        <v>495</v>
      </c>
      <c r="I137" s="358"/>
      <c r="J137" s="358">
        <v>2105.3157894736842</v>
      </c>
      <c r="K137" s="356"/>
      <c r="N137" t="s">
        <v>930</v>
      </c>
    </row>
    <row r="138" spans="1:14" x14ac:dyDescent="0.25">
      <c r="A138" s="359" t="s">
        <v>445</v>
      </c>
      <c r="B138" t="s">
        <v>444</v>
      </c>
      <c r="C138" t="s">
        <v>927</v>
      </c>
      <c r="D138" s="358">
        <v>0</v>
      </c>
      <c r="E138" s="355">
        <v>0</v>
      </c>
      <c r="F138" s="358">
        <v>0</v>
      </c>
      <c r="G138" s="355">
        <v>0</v>
      </c>
      <c r="H138" s="358">
        <v>0</v>
      </c>
      <c r="I138" s="358"/>
      <c r="J138" s="358">
        <v>0</v>
      </c>
      <c r="K138" s="356"/>
      <c r="N138">
        <v>639251</v>
      </c>
    </row>
    <row r="139" spans="1:14" x14ac:dyDescent="0.25">
      <c r="A139" s="359" t="s">
        <v>446</v>
      </c>
      <c r="B139">
        <v>206046</v>
      </c>
      <c r="C139" t="s">
        <v>928</v>
      </c>
      <c r="D139" s="358">
        <v>1482</v>
      </c>
      <c r="E139" s="355">
        <v>0</v>
      </c>
      <c r="F139" s="358">
        <v>1834</v>
      </c>
      <c r="G139" s="355">
        <v>0</v>
      </c>
      <c r="H139" s="358">
        <v>1155</v>
      </c>
      <c r="I139" s="358"/>
      <c r="J139" s="358">
        <v>4471</v>
      </c>
      <c r="K139" s="356"/>
      <c r="N139" t="s">
        <v>931</v>
      </c>
    </row>
    <row r="140" spans="1:14" x14ac:dyDescent="0.25">
      <c r="A140" s="359" t="s">
        <v>448</v>
      </c>
      <c r="B140" t="s">
        <v>929</v>
      </c>
      <c r="C140" t="s">
        <v>929</v>
      </c>
      <c r="D140" s="358">
        <v>162.5</v>
      </c>
      <c r="E140" s="355">
        <v>0</v>
      </c>
      <c r="F140" s="358">
        <v>0</v>
      </c>
      <c r="G140" s="355">
        <v>0</v>
      </c>
      <c r="H140" s="358">
        <v>467.5</v>
      </c>
      <c r="I140" s="358"/>
      <c r="J140" s="358">
        <v>630</v>
      </c>
      <c r="K140" s="356"/>
      <c r="N140" t="s">
        <v>933</v>
      </c>
    </row>
    <row r="141" spans="1:14" x14ac:dyDescent="0.25">
      <c r="A141" s="359" t="s">
        <v>450</v>
      </c>
      <c r="B141" t="s">
        <v>449</v>
      </c>
      <c r="C141" t="s">
        <v>930</v>
      </c>
      <c r="D141" s="358">
        <v>585</v>
      </c>
      <c r="E141" s="355">
        <v>0</v>
      </c>
      <c r="F141" s="358">
        <v>840</v>
      </c>
      <c r="G141" s="355">
        <v>0</v>
      </c>
      <c r="H141" s="358">
        <v>330</v>
      </c>
      <c r="I141" s="358"/>
      <c r="J141" s="358">
        <v>1755</v>
      </c>
      <c r="K141" s="356"/>
      <c r="N141" t="s">
        <v>934</v>
      </c>
    </row>
    <row r="142" spans="1:14" x14ac:dyDescent="0.25">
      <c r="A142" s="359" t="s">
        <v>1043</v>
      </c>
      <c r="B142" t="s">
        <v>1365</v>
      </c>
      <c r="C142" t="s">
        <v>1365</v>
      </c>
      <c r="D142" s="358">
        <v>0</v>
      </c>
      <c r="E142" s="355">
        <v>0</v>
      </c>
      <c r="F142" s="358">
        <v>420</v>
      </c>
      <c r="G142" s="355">
        <v>0</v>
      </c>
      <c r="H142" s="358">
        <v>0</v>
      </c>
      <c r="I142" s="358"/>
      <c r="J142" s="358">
        <v>420</v>
      </c>
      <c r="K142" s="356"/>
      <c r="N142" t="s">
        <v>1045</v>
      </c>
    </row>
    <row r="143" spans="1:14" x14ac:dyDescent="0.25">
      <c r="A143" s="359" t="s">
        <v>454</v>
      </c>
      <c r="B143">
        <v>205978</v>
      </c>
      <c r="C143" t="s">
        <v>931</v>
      </c>
      <c r="D143" s="358">
        <v>390</v>
      </c>
      <c r="E143" s="355">
        <v>0</v>
      </c>
      <c r="F143" s="358">
        <v>419.4473684210526</v>
      </c>
      <c r="G143" s="355">
        <v>0</v>
      </c>
      <c r="H143" s="358">
        <v>588.5</v>
      </c>
      <c r="I143" s="358"/>
      <c r="J143" s="358">
        <v>1397.9473684210525</v>
      </c>
      <c r="K143" s="356"/>
      <c r="N143" t="s">
        <v>935</v>
      </c>
    </row>
    <row r="144" spans="1:14" x14ac:dyDescent="0.25">
      <c r="A144" s="359" t="s">
        <v>932</v>
      </c>
      <c r="B144" t="s">
        <v>933</v>
      </c>
      <c r="C144" t="s">
        <v>933</v>
      </c>
      <c r="D144" s="358">
        <v>585</v>
      </c>
      <c r="E144" s="355">
        <v>0</v>
      </c>
      <c r="F144" s="358">
        <v>1043.3684210526317</v>
      </c>
      <c r="G144" s="355">
        <v>0</v>
      </c>
      <c r="H144" s="358">
        <v>165</v>
      </c>
      <c r="I144" s="358"/>
      <c r="J144" s="358">
        <v>1793.3684210526317</v>
      </c>
      <c r="K144" s="356"/>
      <c r="N144" t="s">
        <v>936</v>
      </c>
    </row>
    <row r="145" spans="1:14" x14ac:dyDescent="0.25">
      <c r="A145" s="359" t="s">
        <v>1053</v>
      </c>
      <c r="B145" t="s">
        <v>1045</v>
      </c>
      <c r="C145" t="s">
        <v>1045</v>
      </c>
      <c r="D145" s="358">
        <v>195</v>
      </c>
      <c r="E145" s="355">
        <v>0</v>
      </c>
      <c r="F145" s="358">
        <v>0</v>
      </c>
      <c r="G145" s="355">
        <v>0</v>
      </c>
      <c r="H145" s="358">
        <v>330</v>
      </c>
      <c r="I145" s="358"/>
      <c r="J145" s="358">
        <v>525</v>
      </c>
      <c r="K145" s="356"/>
      <c r="N145" t="s">
        <v>937</v>
      </c>
    </row>
    <row r="146" spans="1:14" x14ac:dyDescent="0.25">
      <c r="A146" s="359" t="s">
        <v>1054</v>
      </c>
      <c r="B146" t="s">
        <v>934</v>
      </c>
      <c r="C146" t="s">
        <v>934</v>
      </c>
      <c r="D146" s="358">
        <v>513.5</v>
      </c>
      <c r="E146" s="355">
        <v>0</v>
      </c>
      <c r="F146" s="358">
        <v>1116.5</v>
      </c>
      <c r="G146" s="355">
        <v>0</v>
      </c>
      <c r="H146" s="358">
        <v>396</v>
      </c>
      <c r="I146" s="358"/>
      <c r="J146" s="358">
        <v>2026</v>
      </c>
      <c r="K146" s="356"/>
      <c r="N146" t="s">
        <v>938</v>
      </c>
    </row>
    <row r="147" spans="1:14" x14ac:dyDescent="0.25">
      <c r="A147" s="359" t="s">
        <v>458</v>
      </c>
      <c r="B147">
        <v>206043</v>
      </c>
      <c r="C147" t="s">
        <v>935</v>
      </c>
      <c r="D147" s="358">
        <v>975</v>
      </c>
      <c r="E147" s="355">
        <v>0</v>
      </c>
      <c r="F147" s="358">
        <v>1232</v>
      </c>
      <c r="G147" s="355">
        <v>0</v>
      </c>
      <c r="H147" s="358">
        <v>874.5</v>
      </c>
      <c r="I147" s="358"/>
      <c r="J147" s="358">
        <v>3081.5</v>
      </c>
      <c r="K147" s="356"/>
      <c r="N147" t="s">
        <v>939</v>
      </c>
    </row>
    <row r="148" spans="1:14" x14ac:dyDescent="0.25">
      <c r="A148" s="359" t="s">
        <v>460</v>
      </c>
      <c r="B148" t="s">
        <v>459</v>
      </c>
      <c r="C148" t="s">
        <v>936</v>
      </c>
      <c r="D148" s="358">
        <v>585</v>
      </c>
      <c r="E148" s="355">
        <v>0</v>
      </c>
      <c r="F148" s="358">
        <v>1260</v>
      </c>
      <c r="G148" s="355">
        <v>0</v>
      </c>
      <c r="H148" s="358">
        <v>495</v>
      </c>
      <c r="I148" s="358"/>
      <c r="J148" s="358">
        <v>2340</v>
      </c>
      <c r="K148" s="356"/>
      <c r="N148" t="s">
        <v>940</v>
      </c>
    </row>
    <row r="149" spans="1:14" x14ac:dyDescent="0.25">
      <c r="A149" s="359" t="s">
        <v>461</v>
      </c>
      <c r="B149" s="376" t="s">
        <v>1055</v>
      </c>
      <c r="C149" s="376" t="s">
        <v>1055</v>
      </c>
      <c r="D149" s="358">
        <v>0</v>
      </c>
      <c r="E149" s="355">
        <v>0</v>
      </c>
      <c r="F149" s="358">
        <v>0</v>
      </c>
      <c r="G149" s="355">
        <v>0</v>
      </c>
      <c r="H149" s="358">
        <v>0</v>
      </c>
      <c r="I149" s="358"/>
      <c r="J149" s="358">
        <v>0</v>
      </c>
      <c r="K149" s="356"/>
      <c r="N149" t="s">
        <v>941</v>
      </c>
    </row>
    <row r="150" spans="1:14" x14ac:dyDescent="0.25">
      <c r="A150" s="359" t="s">
        <v>463</v>
      </c>
      <c r="B150" t="s">
        <v>462</v>
      </c>
      <c r="C150" t="s">
        <v>937</v>
      </c>
      <c r="D150" s="358">
        <v>0</v>
      </c>
      <c r="E150" s="355">
        <v>0</v>
      </c>
      <c r="F150" s="358">
        <v>728</v>
      </c>
      <c r="G150" s="355">
        <v>0</v>
      </c>
      <c r="H150" s="358">
        <v>0</v>
      </c>
      <c r="I150" s="358"/>
      <c r="J150" s="358">
        <v>728</v>
      </c>
      <c r="K150" s="356"/>
      <c r="N150" t="s">
        <v>942</v>
      </c>
    </row>
    <row r="151" spans="1:14" x14ac:dyDescent="0.25">
      <c r="A151" s="359" t="s">
        <v>465</v>
      </c>
      <c r="B151" t="s">
        <v>464</v>
      </c>
      <c r="C151" t="s">
        <v>938</v>
      </c>
      <c r="D151" s="358">
        <v>0</v>
      </c>
      <c r="E151" s="355">
        <v>0</v>
      </c>
      <c r="F151" s="358">
        <v>0</v>
      </c>
      <c r="G151" s="355">
        <v>0</v>
      </c>
      <c r="H151" s="358">
        <v>0</v>
      </c>
      <c r="I151" s="358"/>
      <c r="J151" s="358">
        <v>0</v>
      </c>
      <c r="K151" s="356"/>
      <c r="N151" t="s">
        <v>943</v>
      </c>
    </row>
    <row r="152" spans="1:14" x14ac:dyDescent="0.25">
      <c r="A152" s="359" t="s">
        <v>467</v>
      </c>
      <c r="B152" t="s">
        <v>466</v>
      </c>
      <c r="C152" t="s">
        <v>939</v>
      </c>
      <c r="D152" s="358">
        <v>195</v>
      </c>
      <c r="E152" s="355">
        <v>0</v>
      </c>
      <c r="F152" s="358">
        <v>420</v>
      </c>
      <c r="G152" s="355">
        <v>0</v>
      </c>
      <c r="H152" s="358">
        <v>330</v>
      </c>
      <c r="I152" s="358"/>
      <c r="J152" s="358">
        <v>945</v>
      </c>
      <c r="K152" s="356"/>
      <c r="N152" t="s">
        <v>944</v>
      </c>
    </row>
    <row r="153" spans="1:14" x14ac:dyDescent="0.25">
      <c r="A153" s="359" t="s">
        <v>469</v>
      </c>
      <c r="B153" t="s">
        <v>468</v>
      </c>
      <c r="C153" t="s">
        <v>940</v>
      </c>
      <c r="D153" s="358">
        <v>0</v>
      </c>
      <c r="E153" s="355">
        <v>0</v>
      </c>
      <c r="F153" s="358">
        <v>286.3</v>
      </c>
      <c r="G153" s="355">
        <v>0</v>
      </c>
      <c r="H153" s="358">
        <v>165</v>
      </c>
      <c r="I153" s="358"/>
      <c r="J153" s="358">
        <v>451.3</v>
      </c>
      <c r="K153" s="356"/>
      <c r="N153" t="s">
        <v>947</v>
      </c>
    </row>
    <row r="154" spans="1:14" x14ac:dyDescent="0.25">
      <c r="A154" s="359" t="s">
        <v>471</v>
      </c>
      <c r="B154" t="s">
        <v>470</v>
      </c>
      <c r="C154" t="s">
        <v>941</v>
      </c>
      <c r="D154" s="358">
        <v>0</v>
      </c>
      <c r="E154" s="355">
        <v>0</v>
      </c>
      <c r="F154" s="358">
        <v>420</v>
      </c>
      <c r="G154" s="355">
        <v>0</v>
      </c>
      <c r="H154" s="358">
        <v>0</v>
      </c>
      <c r="I154" s="358"/>
      <c r="J154" s="358">
        <v>420</v>
      </c>
      <c r="K154" s="356"/>
      <c r="N154" t="s">
        <v>948</v>
      </c>
    </row>
    <row r="155" spans="1:14" x14ac:dyDescent="0.25">
      <c r="A155" s="359" t="s">
        <v>473</v>
      </c>
      <c r="B155" t="s">
        <v>472</v>
      </c>
      <c r="C155" t="s">
        <v>942</v>
      </c>
      <c r="D155" s="358">
        <v>780</v>
      </c>
      <c r="E155" s="355">
        <v>0</v>
      </c>
      <c r="F155" s="358">
        <v>1554</v>
      </c>
      <c r="G155" s="355">
        <v>0</v>
      </c>
      <c r="H155" s="358">
        <v>660</v>
      </c>
      <c r="I155" s="358"/>
      <c r="J155" s="358">
        <v>2994</v>
      </c>
      <c r="K155" s="356"/>
      <c r="N155" t="s">
        <v>949</v>
      </c>
    </row>
    <row r="156" spans="1:14" x14ac:dyDescent="0.25">
      <c r="A156" s="359" t="s">
        <v>475</v>
      </c>
      <c r="B156" t="s">
        <v>474</v>
      </c>
      <c r="C156" t="s">
        <v>943</v>
      </c>
      <c r="D156" s="358">
        <v>0</v>
      </c>
      <c r="E156" s="355">
        <v>0</v>
      </c>
      <c r="F156" s="358">
        <v>0</v>
      </c>
      <c r="G156" s="355">
        <v>0</v>
      </c>
      <c r="H156" s="358">
        <v>0</v>
      </c>
      <c r="I156" s="358"/>
      <c r="J156" s="358">
        <v>0</v>
      </c>
      <c r="K156" s="356"/>
      <c r="N156" t="s">
        <v>950</v>
      </c>
    </row>
    <row r="157" spans="1:14" x14ac:dyDescent="0.25">
      <c r="A157" s="359" t="s">
        <v>477</v>
      </c>
      <c r="B157" t="s">
        <v>476</v>
      </c>
      <c r="C157" t="s">
        <v>944</v>
      </c>
      <c r="D157" s="358">
        <v>390</v>
      </c>
      <c r="E157" s="355">
        <v>0</v>
      </c>
      <c r="F157" s="358">
        <v>840</v>
      </c>
      <c r="G157" s="355">
        <v>0</v>
      </c>
      <c r="H157" s="358">
        <v>165</v>
      </c>
      <c r="I157" s="358"/>
      <c r="J157" s="358">
        <v>1395</v>
      </c>
      <c r="K157" s="356"/>
      <c r="N157" t="s">
        <v>951</v>
      </c>
    </row>
    <row r="158" spans="1:14" x14ac:dyDescent="0.25">
      <c r="A158" s="359" t="s">
        <v>479</v>
      </c>
      <c r="B158" t="s">
        <v>478</v>
      </c>
      <c r="C158" t="s">
        <v>947</v>
      </c>
      <c r="D158" s="358">
        <v>0</v>
      </c>
      <c r="E158" s="355">
        <v>0</v>
      </c>
      <c r="F158" s="358">
        <v>0</v>
      </c>
      <c r="G158" s="355">
        <v>0</v>
      </c>
      <c r="H158" s="358">
        <v>0</v>
      </c>
      <c r="I158" s="358"/>
      <c r="J158" s="358">
        <v>0</v>
      </c>
      <c r="K158" s="356"/>
      <c r="N158" t="s">
        <v>952</v>
      </c>
    </row>
    <row r="159" spans="1:14" x14ac:dyDescent="0.25">
      <c r="A159" s="359" t="s">
        <v>481</v>
      </c>
      <c r="B159" t="s">
        <v>480</v>
      </c>
      <c r="C159" t="s">
        <v>948</v>
      </c>
      <c r="D159" s="358">
        <v>702</v>
      </c>
      <c r="E159" s="355">
        <v>0</v>
      </c>
      <c r="F159" s="358">
        <v>1330</v>
      </c>
      <c r="G159" s="355">
        <v>0</v>
      </c>
      <c r="H159" s="358">
        <v>528</v>
      </c>
      <c r="I159" s="358"/>
      <c r="J159" s="358">
        <v>2560</v>
      </c>
      <c r="K159" s="356"/>
      <c r="N159" t="s">
        <v>953</v>
      </c>
    </row>
    <row r="160" spans="1:14" x14ac:dyDescent="0.25">
      <c r="A160" s="359" t="s">
        <v>483</v>
      </c>
      <c r="B160" t="s">
        <v>482</v>
      </c>
      <c r="C160" t="s">
        <v>949</v>
      </c>
      <c r="D160" s="358">
        <v>1521</v>
      </c>
      <c r="E160" s="355">
        <v>0</v>
      </c>
      <c r="F160" s="358">
        <v>4501</v>
      </c>
      <c r="G160" s="355">
        <v>0</v>
      </c>
      <c r="H160" s="358">
        <v>1622.5</v>
      </c>
      <c r="I160" s="358"/>
      <c r="J160" s="358">
        <v>7644.5</v>
      </c>
      <c r="K160" s="356"/>
      <c r="N160" t="s">
        <v>954</v>
      </c>
    </row>
    <row r="161" spans="1:14" x14ac:dyDescent="0.25">
      <c r="A161" s="359" t="s">
        <v>485</v>
      </c>
      <c r="B161" t="s">
        <v>484</v>
      </c>
      <c r="C161" t="s">
        <v>950</v>
      </c>
      <c r="D161" s="358">
        <v>0</v>
      </c>
      <c r="E161" s="355">
        <v>0</v>
      </c>
      <c r="F161" s="358">
        <v>0</v>
      </c>
      <c r="G161" s="355">
        <v>0</v>
      </c>
      <c r="H161" s="358">
        <v>0</v>
      </c>
      <c r="I161" s="358"/>
      <c r="J161" s="358">
        <v>0</v>
      </c>
      <c r="K161" s="356"/>
      <c r="N161" t="s">
        <v>955</v>
      </c>
    </row>
    <row r="162" spans="1:14" x14ac:dyDescent="0.25">
      <c r="A162" s="359" t="s">
        <v>489</v>
      </c>
      <c r="B162" t="s">
        <v>488</v>
      </c>
      <c r="C162" t="s">
        <v>951</v>
      </c>
      <c r="D162" s="358">
        <v>0</v>
      </c>
      <c r="E162" s="355">
        <v>0</v>
      </c>
      <c r="F162" s="358">
        <v>0</v>
      </c>
      <c r="G162" s="355">
        <v>0</v>
      </c>
      <c r="H162" s="358">
        <v>0</v>
      </c>
      <c r="I162" s="358"/>
      <c r="J162" s="358">
        <v>0</v>
      </c>
      <c r="K162" s="356"/>
      <c r="N162" t="s">
        <v>956</v>
      </c>
    </row>
    <row r="163" spans="1:14" x14ac:dyDescent="0.25">
      <c r="A163" s="359" t="s">
        <v>491</v>
      </c>
      <c r="B163" t="s">
        <v>490</v>
      </c>
      <c r="C163" t="s">
        <v>952</v>
      </c>
      <c r="D163" s="358">
        <v>0</v>
      </c>
      <c r="E163" s="355">
        <v>0</v>
      </c>
      <c r="F163" s="358">
        <v>0</v>
      </c>
      <c r="G163" s="355">
        <v>0</v>
      </c>
      <c r="H163" s="358">
        <v>0</v>
      </c>
      <c r="I163" s="358"/>
      <c r="J163" s="358">
        <v>0</v>
      </c>
      <c r="K163" s="356"/>
      <c r="N163" t="s">
        <v>958</v>
      </c>
    </row>
    <row r="164" spans="1:14" x14ac:dyDescent="0.25">
      <c r="A164" s="359" t="s">
        <v>492</v>
      </c>
      <c r="B164">
        <v>206106</v>
      </c>
      <c r="C164" t="s">
        <v>953</v>
      </c>
      <c r="D164" s="358">
        <v>2643.7997368421047</v>
      </c>
      <c r="E164" s="355">
        <v>0</v>
      </c>
      <c r="F164" s="358">
        <v>4565.8421052631584</v>
      </c>
      <c r="G164" s="355">
        <v>0</v>
      </c>
      <c r="H164" s="358">
        <v>2074.6665789473686</v>
      </c>
      <c r="I164" s="358"/>
      <c r="J164" s="358">
        <v>9284.3084210526322</v>
      </c>
      <c r="K164" s="356"/>
      <c r="N164" t="s">
        <v>1029</v>
      </c>
    </row>
    <row r="165" spans="1:14" x14ac:dyDescent="0.25">
      <c r="A165" s="359" t="s">
        <v>496</v>
      </c>
      <c r="B165" t="s">
        <v>495</v>
      </c>
      <c r="C165" t="s">
        <v>954</v>
      </c>
      <c r="D165" s="358">
        <v>975</v>
      </c>
      <c r="E165" s="355">
        <v>0</v>
      </c>
      <c r="F165" s="358">
        <v>1680</v>
      </c>
      <c r="G165" s="355">
        <v>0</v>
      </c>
      <c r="H165" s="358">
        <v>660</v>
      </c>
      <c r="I165" s="358"/>
      <c r="J165" s="358">
        <v>3315</v>
      </c>
      <c r="K165" s="356"/>
      <c r="N165" t="s">
        <v>959</v>
      </c>
    </row>
    <row r="166" spans="1:14" x14ac:dyDescent="0.25">
      <c r="A166" s="359" t="s">
        <v>498</v>
      </c>
      <c r="B166" t="s">
        <v>497</v>
      </c>
      <c r="C166" t="s">
        <v>955</v>
      </c>
      <c r="D166" s="358">
        <v>0</v>
      </c>
      <c r="E166" s="355">
        <v>0</v>
      </c>
      <c r="F166" s="358">
        <v>0</v>
      </c>
      <c r="G166" s="355">
        <v>0</v>
      </c>
      <c r="H166" s="358">
        <v>0</v>
      </c>
      <c r="I166" s="358"/>
      <c r="J166" s="358">
        <v>0</v>
      </c>
      <c r="K166" s="356"/>
      <c r="N166" t="s">
        <v>961</v>
      </c>
    </row>
    <row r="167" spans="1:14" x14ac:dyDescent="0.25">
      <c r="A167" s="359" t="s">
        <v>500</v>
      </c>
      <c r="B167" t="s">
        <v>499</v>
      </c>
      <c r="C167" t="s">
        <v>956</v>
      </c>
      <c r="D167" s="358">
        <v>2903.7894736842104</v>
      </c>
      <c r="E167" s="355">
        <v>0</v>
      </c>
      <c r="F167" s="358">
        <v>6059.4210526315792</v>
      </c>
      <c r="G167" s="355">
        <v>0</v>
      </c>
      <c r="H167" s="358">
        <v>2044.2631578947373</v>
      </c>
      <c r="I167" s="358"/>
      <c r="J167" s="358">
        <v>11007.473684210527</v>
      </c>
      <c r="K167" s="356"/>
      <c r="N167" t="s">
        <v>962</v>
      </c>
    </row>
    <row r="168" spans="1:14" x14ac:dyDescent="0.25">
      <c r="A168" s="359" t="s">
        <v>957</v>
      </c>
      <c r="B168" t="s">
        <v>958</v>
      </c>
      <c r="C168" t="s">
        <v>958</v>
      </c>
      <c r="D168" s="358">
        <v>0</v>
      </c>
      <c r="E168" s="355">
        <v>0</v>
      </c>
      <c r="F168" s="358">
        <v>0</v>
      </c>
      <c r="G168" s="355">
        <v>0</v>
      </c>
      <c r="H168" s="358">
        <v>0</v>
      </c>
      <c r="I168" s="358"/>
      <c r="J168" s="358">
        <v>0</v>
      </c>
      <c r="K168" s="356"/>
      <c r="N168" t="s">
        <v>963</v>
      </c>
    </row>
    <row r="169" spans="1:14" x14ac:dyDescent="0.25">
      <c r="A169" s="359" t="s">
        <v>1028</v>
      </c>
      <c r="B169" t="s">
        <v>1340</v>
      </c>
      <c r="C169" t="s">
        <v>1340</v>
      </c>
      <c r="D169" s="358">
        <v>3403.2186842105257</v>
      </c>
      <c r="E169" s="355">
        <v>0</v>
      </c>
      <c r="F169" s="358">
        <v>6801.0157894736831</v>
      </c>
      <c r="G169" s="355">
        <v>0</v>
      </c>
      <c r="H169" s="358">
        <v>2516.2123684210519</v>
      </c>
      <c r="I169" s="358"/>
      <c r="J169" s="358">
        <v>12720.446842105262</v>
      </c>
      <c r="K169" s="356"/>
      <c r="N169" t="s">
        <v>964</v>
      </c>
    </row>
    <row r="170" spans="1:14" x14ac:dyDescent="0.25">
      <c r="A170" s="359" t="s">
        <v>501</v>
      </c>
      <c r="B170">
        <v>206134</v>
      </c>
      <c r="C170" t="s">
        <v>959</v>
      </c>
      <c r="D170" s="358">
        <v>0</v>
      </c>
      <c r="E170" s="355">
        <v>0</v>
      </c>
      <c r="F170" s="358">
        <v>0</v>
      </c>
      <c r="G170" s="355">
        <v>0</v>
      </c>
      <c r="H170" s="358">
        <v>0</v>
      </c>
      <c r="I170" s="358"/>
      <c r="J170" s="358">
        <v>0</v>
      </c>
      <c r="K170" s="356"/>
      <c r="N170" t="s">
        <v>965</v>
      </c>
    </row>
    <row r="171" spans="1:14" x14ac:dyDescent="0.25">
      <c r="A171" s="359" t="s">
        <v>960</v>
      </c>
      <c r="B171" t="s">
        <v>961</v>
      </c>
      <c r="C171" t="s">
        <v>961</v>
      </c>
      <c r="D171" s="358">
        <v>0</v>
      </c>
      <c r="E171" s="355">
        <v>0</v>
      </c>
      <c r="F171" s="358">
        <v>0</v>
      </c>
      <c r="G171" s="355">
        <v>0</v>
      </c>
      <c r="H171" s="358">
        <v>0</v>
      </c>
      <c r="I171" s="358"/>
      <c r="J171" s="358">
        <v>0</v>
      </c>
      <c r="K171" s="356"/>
      <c r="N171" t="s">
        <v>967</v>
      </c>
    </row>
    <row r="172" spans="1:14" x14ac:dyDescent="0.25">
      <c r="A172" s="359" t="s">
        <v>504</v>
      </c>
      <c r="B172">
        <v>206109</v>
      </c>
      <c r="C172" t="s">
        <v>962</v>
      </c>
      <c r="D172" s="358">
        <v>1796.6547368421056</v>
      </c>
      <c r="E172" s="355">
        <v>0</v>
      </c>
      <c r="F172" s="358">
        <v>6787.4357894736859</v>
      </c>
      <c r="G172" s="355">
        <v>0</v>
      </c>
      <c r="H172" s="358">
        <v>1649.9305263157898</v>
      </c>
      <c r="I172" s="358"/>
      <c r="J172" s="358">
        <v>10234.02105263158</v>
      </c>
      <c r="K172" s="356"/>
      <c r="N172" t="s">
        <v>968</v>
      </c>
    </row>
    <row r="173" spans="1:14" x14ac:dyDescent="0.25">
      <c r="A173" s="359" t="s">
        <v>514</v>
      </c>
      <c r="B173" t="s">
        <v>513</v>
      </c>
      <c r="C173" t="s">
        <v>963</v>
      </c>
      <c r="D173" s="358">
        <v>0</v>
      </c>
      <c r="E173" s="355">
        <v>0</v>
      </c>
      <c r="F173" s="358">
        <v>0</v>
      </c>
      <c r="G173" s="355">
        <v>0</v>
      </c>
      <c r="H173" s="358">
        <v>0</v>
      </c>
      <c r="I173" s="358"/>
      <c r="J173" s="358">
        <v>0</v>
      </c>
      <c r="K173" s="356"/>
      <c r="N173" t="s">
        <v>969</v>
      </c>
    </row>
    <row r="174" spans="1:14" x14ac:dyDescent="0.25">
      <c r="A174" s="359" t="s">
        <v>1341</v>
      </c>
      <c r="B174" t="s">
        <v>1342</v>
      </c>
      <c r="C174" t="s">
        <v>1342</v>
      </c>
      <c r="D174" s="358">
        <v>0</v>
      </c>
      <c r="E174" s="355">
        <v>0</v>
      </c>
      <c r="F174" s="358">
        <v>2938.297894736842</v>
      </c>
      <c r="G174" s="355">
        <v>0</v>
      </c>
      <c r="H174" s="358">
        <v>0</v>
      </c>
      <c r="I174" s="358"/>
      <c r="J174" s="358">
        <v>2938.297894736842</v>
      </c>
      <c r="K174" s="356"/>
      <c r="N174" t="s">
        <v>972</v>
      </c>
    </row>
    <row r="175" spans="1:14" x14ac:dyDescent="0.25">
      <c r="A175" s="359" t="s">
        <v>507</v>
      </c>
      <c r="B175" t="s">
        <v>506</v>
      </c>
      <c r="C175" t="s">
        <v>964</v>
      </c>
      <c r="D175" s="358">
        <v>4095</v>
      </c>
      <c r="E175" s="355">
        <v>0</v>
      </c>
      <c r="F175" s="358">
        <v>9492</v>
      </c>
      <c r="G175" s="355">
        <v>0</v>
      </c>
      <c r="H175" s="358">
        <v>2970</v>
      </c>
      <c r="I175" s="358"/>
      <c r="J175" s="358">
        <v>16557</v>
      </c>
      <c r="K175" s="356"/>
      <c r="N175" t="s">
        <v>973</v>
      </c>
    </row>
    <row r="176" spans="1:14" x14ac:dyDescent="0.25">
      <c r="A176" s="359" t="s">
        <v>1361</v>
      </c>
      <c r="B176" t="s">
        <v>1344</v>
      </c>
      <c r="C176" t="s">
        <v>1344</v>
      </c>
      <c r="D176" s="358">
        <v>0</v>
      </c>
      <c r="E176" s="355">
        <v>0</v>
      </c>
      <c r="F176" s="358">
        <v>1344</v>
      </c>
      <c r="G176" s="355">
        <v>0</v>
      </c>
      <c r="H176" s="358">
        <v>0</v>
      </c>
      <c r="I176" s="358"/>
      <c r="J176" s="358">
        <v>1344</v>
      </c>
      <c r="K176" s="356"/>
      <c r="N176" t="s">
        <v>974</v>
      </c>
    </row>
    <row r="177" spans="1:14" x14ac:dyDescent="0.25">
      <c r="A177" s="359" t="s">
        <v>509</v>
      </c>
      <c r="B177" t="s">
        <v>508</v>
      </c>
      <c r="C177" t="s">
        <v>965</v>
      </c>
      <c r="D177" s="358">
        <v>0</v>
      </c>
      <c r="E177" s="355">
        <v>0</v>
      </c>
      <c r="F177" s="358">
        <v>0</v>
      </c>
      <c r="G177" s="355">
        <v>0</v>
      </c>
      <c r="H177" s="358">
        <v>0</v>
      </c>
      <c r="I177" s="358"/>
      <c r="J177" s="358">
        <v>0</v>
      </c>
      <c r="K177" s="356"/>
      <c r="N177" t="s">
        <v>975</v>
      </c>
    </row>
    <row r="178" spans="1:14" x14ac:dyDescent="0.25">
      <c r="A178" s="359" t="s">
        <v>966</v>
      </c>
      <c r="B178" t="s">
        <v>967</v>
      </c>
      <c r="C178" t="s">
        <v>967</v>
      </c>
      <c r="D178" s="358">
        <v>1560</v>
      </c>
      <c r="E178" s="355">
        <v>0</v>
      </c>
      <c r="F178" s="358">
        <v>839.7568421052631</v>
      </c>
      <c r="G178" s="355">
        <v>0</v>
      </c>
      <c r="H178" s="358">
        <v>1485</v>
      </c>
      <c r="I178" s="358"/>
      <c r="J178" s="358">
        <v>3884.7568421052629</v>
      </c>
      <c r="K178" s="356"/>
      <c r="N178" t="s">
        <v>976</v>
      </c>
    </row>
    <row r="179" spans="1:14" x14ac:dyDescent="0.25">
      <c r="A179" s="359" t="s">
        <v>511</v>
      </c>
      <c r="B179" t="s">
        <v>510</v>
      </c>
      <c r="C179" t="s">
        <v>968</v>
      </c>
      <c r="D179" s="358">
        <v>299.57131578947366</v>
      </c>
      <c r="E179" s="355">
        <v>0</v>
      </c>
      <c r="F179" s="358">
        <v>2197.145263157895</v>
      </c>
      <c r="G179" s="355">
        <v>0</v>
      </c>
      <c r="H179" s="358">
        <v>494.71342105263159</v>
      </c>
      <c r="I179" s="358"/>
      <c r="J179" s="358">
        <v>2991.4300000000003</v>
      </c>
      <c r="K179" s="356"/>
      <c r="N179" t="s">
        <v>977</v>
      </c>
    </row>
    <row r="180" spans="1:14" x14ac:dyDescent="0.25">
      <c r="A180" s="359" t="s">
        <v>512</v>
      </c>
      <c r="B180">
        <v>509197</v>
      </c>
      <c r="C180" t="s">
        <v>969</v>
      </c>
      <c r="D180" s="358">
        <v>2270.846842105263</v>
      </c>
      <c r="E180" s="355">
        <v>0</v>
      </c>
      <c r="F180" s="358">
        <v>2402.6652631578945</v>
      </c>
      <c r="G180" s="355">
        <v>0</v>
      </c>
      <c r="H180" s="358">
        <v>2267.0218421052632</v>
      </c>
      <c r="I180" s="358"/>
      <c r="J180" s="358">
        <v>6940.5339473684207</v>
      </c>
      <c r="K180" s="356"/>
      <c r="N180" t="s">
        <v>978</v>
      </c>
    </row>
    <row r="181" spans="1:14" x14ac:dyDescent="0.25">
      <c r="A181" s="359" t="s">
        <v>516</v>
      </c>
      <c r="B181" t="s">
        <v>515</v>
      </c>
      <c r="C181" t="s">
        <v>972</v>
      </c>
      <c r="D181" s="358">
        <v>1755</v>
      </c>
      <c r="E181" s="355">
        <v>0</v>
      </c>
      <c r="F181" s="358">
        <v>840</v>
      </c>
      <c r="G181" s="355">
        <v>0</v>
      </c>
      <c r="H181" s="358">
        <v>1320</v>
      </c>
      <c r="I181" s="358"/>
      <c r="J181" s="358">
        <v>3915</v>
      </c>
      <c r="K181" s="356"/>
      <c r="N181" t="s">
        <v>1031</v>
      </c>
    </row>
    <row r="182" spans="1:14" x14ac:dyDescent="0.25">
      <c r="A182" s="359" t="s">
        <v>517</v>
      </c>
      <c r="B182">
        <v>206117</v>
      </c>
      <c r="C182" t="s">
        <v>973</v>
      </c>
      <c r="D182" s="358">
        <v>3445</v>
      </c>
      <c r="E182" s="355">
        <v>0</v>
      </c>
      <c r="F182" s="358">
        <v>10542</v>
      </c>
      <c r="G182" s="355">
        <v>0</v>
      </c>
      <c r="H182" s="358">
        <v>2970</v>
      </c>
      <c r="I182" s="358"/>
      <c r="J182" s="358">
        <v>16957</v>
      </c>
      <c r="K182" s="356"/>
      <c r="N182" t="s">
        <v>979</v>
      </c>
    </row>
    <row r="183" spans="1:14" x14ac:dyDescent="0.25">
      <c r="A183" s="359" t="s">
        <v>518</v>
      </c>
      <c r="B183">
        <v>206141</v>
      </c>
      <c r="C183" t="s">
        <v>974</v>
      </c>
      <c r="D183" s="358">
        <v>0</v>
      </c>
      <c r="E183" s="355">
        <v>0</v>
      </c>
      <c r="F183" s="358">
        <v>0</v>
      </c>
      <c r="G183" s="355">
        <v>0</v>
      </c>
      <c r="H183" s="358">
        <v>0</v>
      </c>
      <c r="I183" s="358"/>
      <c r="J183" s="358">
        <v>0</v>
      </c>
      <c r="K183" s="356"/>
      <c r="N183" t="s">
        <v>980</v>
      </c>
    </row>
    <row r="184" spans="1:14" x14ac:dyDescent="0.25">
      <c r="A184" s="359" t="s">
        <v>520</v>
      </c>
      <c r="B184" t="s">
        <v>519</v>
      </c>
      <c r="C184" t="s">
        <v>975</v>
      </c>
      <c r="D184" s="358">
        <v>8580</v>
      </c>
      <c r="E184" s="355">
        <v>0</v>
      </c>
      <c r="F184" s="358">
        <v>16590</v>
      </c>
      <c r="G184" s="355">
        <v>0</v>
      </c>
      <c r="H184" s="358">
        <v>5747.5</v>
      </c>
      <c r="I184" s="358"/>
      <c r="J184" s="358">
        <v>30917.5</v>
      </c>
      <c r="K184" s="356"/>
      <c r="N184" t="s">
        <v>981</v>
      </c>
    </row>
    <row r="185" spans="1:14" x14ac:dyDescent="0.25">
      <c r="A185" s="359" t="s">
        <v>522</v>
      </c>
      <c r="B185" t="s">
        <v>521</v>
      </c>
      <c r="C185" t="s">
        <v>976</v>
      </c>
      <c r="D185" s="358">
        <v>12747.252631578953</v>
      </c>
      <c r="E185" s="355">
        <v>0</v>
      </c>
      <c r="F185" s="358">
        <v>23750.417894736842</v>
      </c>
      <c r="G185" s="355">
        <v>0</v>
      </c>
      <c r="H185" s="358">
        <v>8626.9873684210561</v>
      </c>
      <c r="I185" s="358"/>
      <c r="J185" s="358">
        <v>45124.657894736847</v>
      </c>
      <c r="K185" s="356"/>
      <c r="N185" t="s">
        <v>982</v>
      </c>
    </row>
    <row r="186" spans="1:14" x14ac:dyDescent="0.25">
      <c r="A186" s="359" t="s">
        <v>523</v>
      </c>
      <c r="B186">
        <v>258408</v>
      </c>
      <c r="C186" t="s">
        <v>977</v>
      </c>
      <c r="D186" s="358">
        <v>1560</v>
      </c>
      <c r="E186" s="355">
        <v>0</v>
      </c>
      <c r="F186" s="358">
        <v>4480</v>
      </c>
      <c r="G186" s="355">
        <v>0</v>
      </c>
      <c r="H186" s="358">
        <v>1815</v>
      </c>
      <c r="I186" s="358"/>
      <c r="J186" s="358">
        <v>7855</v>
      </c>
      <c r="K186" s="356"/>
      <c r="N186" t="s">
        <v>985</v>
      </c>
    </row>
    <row r="187" spans="1:14" x14ac:dyDescent="0.25">
      <c r="A187" s="359" t="s">
        <v>524</v>
      </c>
      <c r="B187">
        <v>258406</v>
      </c>
      <c r="C187" t="s">
        <v>978</v>
      </c>
      <c r="D187" s="358">
        <v>0</v>
      </c>
      <c r="E187" s="355">
        <v>0</v>
      </c>
      <c r="F187" s="358">
        <v>0</v>
      </c>
      <c r="G187" s="355">
        <v>0</v>
      </c>
      <c r="H187" s="358">
        <v>0</v>
      </c>
      <c r="I187" s="358"/>
      <c r="J187" s="358">
        <v>0</v>
      </c>
      <c r="K187" s="356"/>
      <c r="N187" t="s">
        <v>986</v>
      </c>
    </row>
    <row r="188" spans="1:14" x14ac:dyDescent="0.25">
      <c r="A188" s="359" t="s">
        <v>523</v>
      </c>
      <c r="B188" t="s">
        <v>1031</v>
      </c>
      <c r="C188" t="s">
        <v>1031</v>
      </c>
      <c r="D188" s="358">
        <v>6098.5873684210546</v>
      </c>
      <c r="E188" s="355">
        <v>0</v>
      </c>
      <c r="F188" s="358">
        <v>7572.8505263157904</v>
      </c>
      <c r="G188" s="355">
        <v>0</v>
      </c>
      <c r="H188" s="358">
        <v>5460.7936842105282</v>
      </c>
      <c r="I188" s="358"/>
      <c r="J188" s="358">
        <v>19132.231578947372</v>
      </c>
      <c r="K188" s="356"/>
      <c r="N188" t="s">
        <v>987</v>
      </c>
    </row>
    <row r="189" spans="1:14" x14ac:dyDescent="0.25">
      <c r="A189" s="359" t="s">
        <v>525</v>
      </c>
      <c r="B189" s="376" t="s">
        <v>979</v>
      </c>
      <c r="C189" s="376" t="s">
        <v>979</v>
      </c>
      <c r="D189" s="358">
        <v>1559.2713157894736</v>
      </c>
      <c r="E189" s="355">
        <v>0</v>
      </c>
      <c r="F189" s="358">
        <v>4725.2321052631578</v>
      </c>
      <c r="G189" s="355">
        <v>0</v>
      </c>
      <c r="H189" s="358">
        <v>1484.1402631578947</v>
      </c>
      <c r="I189" s="358"/>
      <c r="J189" s="358">
        <v>7768.6436842105268</v>
      </c>
      <c r="K189" s="356"/>
      <c r="N189" t="s">
        <v>988</v>
      </c>
    </row>
    <row r="190" spans="1:14" x14ac:dyDescent="0.25">
      <c r="A190" s="359" t="s">
        <v>527</v>
      </c>
      <c r="B190" t="s">
        <v>526</v>
      </c>
      <c r="C190" t="s">
        <v>980</v>
      </c>
      <c r="D190" s="358">
        <v>195</v>
      </c>
      <c r="E190" s="355">
        <v>0</v>
      </c>
      <c r="F190" s="358">
        <v>840</v>
      </c>
      <c r="G190" s="355">
        <v>0</v>
      </c>
      <c r="H190" s="358">
        <v>660</v>
      </c>
      <c r="I190" s="358"/>
      <c r="J190" s="358">
        <v>1695</v>
      </c>
      <c r="K190" s="356"/>
      <c r="N190" t="s">
        <v>991</v>
      </c>
    </row>
    <row r="191" spans="1:14" x14ac:dyDescent="0.25">
      <c r="A191" s="359" t="s">
        <v>528</v>
      </c>
      <c r="B191">
        <v>206146</v>
      </c>
      <c r="C191" t="s">
        <v>981</v>
      </c>
      <c r="D191" s="358">
        <v>0</v>
      </c>
      <c r="E191" s="355">
        <v>0</v>
      </c>
      <c r="F191" s="358">
        <v>0</v>
      </c>
      <c r="G191" s="355">
        <v>0</v>
      </c>
      <c r="H191" s="358">
        <v>0</v>
      </c>
      <c r="I191" s="358"/>
      <c r="J191" s="358">
        <v>0</v>
      </c>
      <c r="K191" s="356"/>
      <c r="N191" t="s">
        <v>992</v>
      </c>
    </row>
    <row r="192" spans="1:14" x14ac:dyDescent="0.25">
      <c r="A192" s="359" t="s">
        <v>530</v>
      </c>
      <c r="B192" t="s">
        <v>529</v>
      </c>
      <c r="C192" t="s">
        <v>982</v>
      </c>
      <c r="D192" s="358">
        <v>195</v>
      </c>
      <c r="E192" s="355">
        <v>0</v>
      </c>
      <c r="F192" s="358">
        <v>0</v>
      </c>
      <c r="G192" s="355">
        <v>0</v>
      </c>
      <c r="H192" s="358">
        <v>165</v>
      </c>
      <c r="I192" s="358"/>
      <c r="J192" s="358">
        <v>360</v>
      </c>
      <c r="K192" s="356"/>
      <c r="N192" t="s">
        <v>993</v>
      </c>
    </row>
    <row r="193" spans="1:14" x14ac:dyDescent="0.25">
      <c r="A193" s="359" t="s">
        <v>1032</v>
      </c>
      <c r="B193" t="s">
        <v>1345</v>
      </c>
      <c r="C193" t="s">
        <v>1345</v>
      </c>
      <c r="D193" s="358">
        <v>194.88710526315788</v>
      </c>
      <c r="E193" s="355">
        <v>0</v>
      </c>
      <c r="F193" s="358">
        <v>1889.7015789473685</v>
      </c>
      <c r="G193" s="355">
        <v>0</v>
      </c>
      <c r="H193" s="358">
        <v>0</v>
      </c>
      <c r="I193" s="358"/>
      <c r="J193" s="358">
        <v>2084.5886842105265</v>
      </c>
      <c r="K193" s="356"/>
      <c r="N193" t="s">
        <v>994</v>
      </c>
    </row>
    <row r="194" spans="1:14" x14ac:dyDescent="0.25">
      <c r="A194" s="359" t="s">
        <v>531</v>
      </c>
      <c r="B194">
        <v>2534321</v>
      </c>
      <c r="C194" t="s">
        <v>985</v>
      </c>
      <c r="D194" s="358">
        <v>3900</v>
      </c>
      <c r="E194" s="355">
        <v>0</v>
      </c>
      <c r="F194" s="358">
        <v>6299.3368421052637</v>
      </c>
      <c r="G194" s="355">
        <v>0</v>
      </c>
      <c r="H194" s="358">
        <v>3135</v>
      </c>
      <c r="I194" s="358"/>
      <c r="J194" s="358">
        <v>13334.336842105264</v>
      </c>
      <c r="K194" s="356"/>
      <c r="N194" t="s">
        <v>995</v>
      </c>
    </row>
    <row r="195" spans="1:14" x14ac:dyDescent="0.25">
      <c r="A195" s="359" t="s">
        <v>533</v>
      </c>
      <c r="B195" t="s">
        <v>532</v>
      </c>
      <c r="C195" t="s">
        <v>986</v>
      </c>
      <c r="D195" s="358">
        <v>7306.6089473684169</v>
      </c>
      <c r="E195" s="355">
        <v>0</v>
      </c>
      <c r="F195" s="358">
        <v>14419.417894736838</v>
      </c>
      <c r="G195" s="355">
        <v>0</v>
      </c>
      <c r="H195" s="358">
        <v>5599.2228947368385</v>
      </c>
      <c r="I195" s="358"/>
      <c r="J195" s="358">
        <v>27325.249736842092</v>
      </c>
      <c r="K195" s="356"/>
      <c r="N195" t="s">
        <v>997</v>
      </c>
    </row>
    <row r="196" spans="1:14" x14ac:dyDescent="0.25">
      <c r="A196" s="359" t="s">
        <v>535</v>
      </c>
      <c r="B196" t="s">
        <v>534</v>
      </c>
      <c r="C196" t="s">
        <v>987</v>
      </c>
      <c r="D196" s="358">
        <v>0</v>
      </c>
      <c r="E196" s="355">
        <v>0</v>
      </c>
      <c r="F196" s="358">
        <v>560</v>
      </c>
      <c r="G196" s="355">
        <v>0</v>
      </c>
      <c r="H196" s="358">
        <v>0</v>
      </c>
      <c r="I196" s="358"/>
      <c r="J196" s="358">
        <v>560</v>
      </c>
      <c r="K196" s="356"/>
      <c r="N196" t="s">
        <v>998</v>
      </c>
    </row>
    <row r="197" spans="1:14" x14ac:dyDescent="0.25">
      <c r="A197" s="359" t="s">
        <v>537</v>
      </c>
      <c r="B197" t="s">
        <v>536</v>
      </c>
      <c r="C197" t="s">
        <v>988</v>
      </c>
      <c r="D197" s="358">
        <v>1364.2097368421053</v>
      </c>
      <c r="E197" s="355">
        <v>0</v>
      </c>
      <c r="F197" s="358">
        <v>5037.0821052631572</v>
      </c>
      <c r="G197" s="355">
        <v>0</v>
      </c>
      <c r="H197" s="358">
        <v>494.71342105263159</v>
      </c>
      <c r="I197" s="358"/>
      <c r="J197" s="358">
        <v>6896.0052631578947</v>
      </c>
      <c r="K197" s="356"/>
      <c r="N197" t="s">
        <v>999</v>
      </c>
    </row>
    <row r="198" spans="1:14" x14ac:dyDescent="0.25">
      <c r="A198" s="359" t="s">
        <v>539</v>
      </c>
      <c r="B198" t="s">
        <v>538</v>
      </c>
      <c r="C198" t="s">
        <v>991</v>
      </c>
      <c r="D198" s="358">
        <v>3679</v>
      </c>
      <c r="E198" s="355">
        <v>0</v>
      </c>
      <c r="F198" s="358">
        <v>8245.2631578947348</v>
      </c>
      <c r="G198" s="355">
        <v>0</v>
      </c>
      <c r="H198" s="358">
        <v>2959</v>
      </c>
      <c r="I198" s="358"/>
      <c r="J198" s="358">
        <v>14883.263157894735</v>
      </c>
      <c r="K198" s="356"/>
      <c r="N198" t="s">
        <v>1000</v>
      </c>
    </row>
    <row r="199" spans="1:14" x14ac:dyDescent="0.25">
      <c r="A199" s="359" t="s">
        <v>541</v>
      </c>
      <c r="B199" t="s">
        <v>540</v>
      </c>
      <c r="C199" t="s">
        <v>992</v>
      </c>
      <c r="D199" s="358">
        <v>2367.0331578947366</v>
      </c>
      <c r="E199" s="355">
        <v>0</v>
      </c>
      <c r="F199" s="358">
        <v>3270.8494736842104</v>
      </c>
      <c r="G199" s="355">
        <v>0</v>
      </c>
      <c r="H199" s="358">
        <v>2109.146947368421</v>
      </c>
      <c r="I199" s="358"/>
      <c r="J199" s="358">
        <v>7747.0295789473676</v>
      </c>
      <c r="K199" s="356"/>
      <c r="N199" t="s">
        <v>1001</v>
      </c>
    </row>
    <row r="200" spans="1:14" x14ac:dyDescent="0.25">
      <c r="A200" s="359" t="s">
        <v>543</v>
      </c>
      <c r="B200" t="s">
        <v>542</v>
      </c>
      <c r="C200" t="s">
        <v>993</v>
      </c>
      <c r="D200" s="358">
        <v>0</v>
      </c>
      <c r="E200" s="355">
        <v>0</v>
      </c>
      <c r="F200" s="358">
        <v>0</v>
      </c>
      <c r="G200" s="355">
        <v>0</v>
      </c>
      <c r="H200" s="358">
        <v>0</v>
      </c>
      <c r="I200" s="358"/>
      <c r="J200" s="358">
        <v>0</v>
      </c>
      <c r="K200" s="356"/>
      <c r="N200" t="s">
        <v>1002</v>
      </c>
    </row>
    <row r="201" spans="1:14" x14ac:dyDescent="0.25">
      <c r="A201" s="359" t="s">
        <v>545</v>
      </c>
      <c r="B201" t="s">
        <v>544</v>
      </c>
      <c r="C201" t="s">
        <v>994</v>
      </c>
      <c r="D201" s="358">
        <v>0</v>
      </c>
      <c r="E201" s="355">
        <v>0</v>
      </c>
      <c r="F201" s="358">
        <v>0</v>
      </c>
      <c r="G201" s="355">
        <v>0</v>
      </c>
      <c r="H201" s="358">
        <v>0</v>
      </c>
      <c r="I201" s="358"/>
      <c r="J201" s="358">
        <v>0</v>
      </c>
      <c r="K201" s="356"/>
      <c r="N201" t="s">
        <v>1003</v>
      </c>
    </row>
    <row r="202" spans="1:14" x14ac:dyDescent="0.25">
      <c r="A202" s="359" t="s">
        <v>547</v>
      </c>
      <c r="B202" t="s">
        <v>546</v>
      </c>
      <c r="C202" t="s">
        <v>995</v>
      </c>
      <c r="D202" s="358">
        <v>0</v>
      </c>
      <c r="E202" s="355">
        <v>0</v>
      </c>
      <c r="F202" s="358">
        <v>0</v>
      </c>
      <c r="G202" s="355">
        <v>0</v>
      </c>
      <c r="H202" s="358">
        <v>0</v>
      </c>
      <c r="I202" s="358"/>
      <c r="J202" s="358">
        <v>0</v>
      </c>
      <c r="K202" s="356"/>
      <c r="N202" t="s">
        <v>1004</v>
      </c>
    </row>
    <row r="203" spans="1:14" x14ac:dyDescent="0.25">
      <c r="A203" s="359" t="s">
        <v>996</v>
      </c>
      <c r="B203" t="s">
        <v>997</v>
      </c>
      <c r="C203" t="s">
        <v>997</v>
      </c>
      <c r="D203" s="358">
        <v>0</v>
      </c>
      <c r="E203" s="355">
        <v>0</v>
      </c>
      <c r="F203" s="358">
        <v>0</v>
      </c>
      <c r="G203" s="355">
        <v>0</v>
      </c>
      <c r="H203" s="358">
        <v>0</v>
      </c>
      <c r="I203" s="358"/>
      <c r="J203" s="358">
        <v>0</v>
      </c>
      <c r="K203" s="356"/>
      <c r="N203" t="s">
        <v>1005</v>
      </c>
    </row>
    <row r="204" spans="1:14" x14ac:dyDescent="0.25">
      <c r="A204" s="359" t="s">
        <v>550</v>
      </c>
      <c r="B204" t="s">
        <v>549</v>
      </c>
      <c r="C204" t="s">
        <v>998</v>
      </c>
      <c r="D204" s="358">
        <v>3892.747368421054</v>
      </c>
      <c r="E204" s="355">
        <v>0</v>
      </c>
      <c r="F204" s="358">
        <v>9696.3705263157881</v>
      </c>
      <c r="G204" s="355">
        <v>0</v>
      </c>
      <c r="H204" s="358">
        <v>2881.814736842106</v>
      </c>
      <c r="I204" s="358"/>
      <c r="J204" s="358">
        <v>16470.932631578948</v>
      </c>
      <c r="K204" s="356"/>
      <c r="N204" t="s">
        <v>1007</v>
      </c>
    </row>
    <row r="205" spans="1:14" x14ac:dyDescent="0.25">
      <c r="A205" s="359" t="s">
        <v>551</v>
      </c>
      <c r="B205" t="s">
        <v>999</v>
      </c>
      <c r="C205" t="s">
        <v>999</v>
      </c>
      <c r="D205" s="358">
        <v>3378.3339473684205</v>
      </c>
      <c r="E205" s="355">
        <v>0</v>
      </c>
      <c r="F205" s="358">
        <v>5765.1742105263156</v>
      </c>
      <c r="G205" s="355">
        <v>0</v>
      </c>
      <c r="H205" s="358">
        <v>3023.3471052631571</v>
      </c>
      <c r="I205" s="358"/>
      <c r="J205" s="358">
        <v>12166.855263157893</v>
      </c>
      <c r="K205" s="356"/>
      <c r="N205" t="s">
        <v>1008</v>
      </c>
    </row>
    <row r="206" spans="1:14" x14ac:dyDescent="0.25">
      <c r="A206" s="359" t="s">
        <v>553</v>
      </c>
      <c r="B206" t="s">
        <v>552</v>
      </c>
      <c r="C206" t="s">
        <v>1000</v>
      </c>
      <c r="D206" s="358">
        <v>4953</v>
      </c>
      <c r="E206" s="355">
        <v>0</v>
      </c>
      <c r="F206" s="358">
        <v>9653</v>
      </c>
      <c r="G206" s="355">
        <v>0</v>
      </c>
      <c r="H206" s="358">
        <v>3415.5</v>
      </c>
      <c r="I206" s="358"/>
      <c r="J206" s="358">
        <v>18021.5</v>
      </c>
      <c r="K206" s="356"/>
      <c r="N206" t="s">
        <v>1009</v>
      </c>
    </row>
    <row r="207" spans="1:14" x14ac:dyDescent="0.25">
      <c r="A207" s="359" t="s">
        <v>554</v>
      </c>
      <c r="B207">
        <v>206103</v>
      </c>
      <c r="C207" t="s">
        <v>1001</v>
      </c>
      <c r="D207" s="358">
        <v>0</v>
      </c>
      <c r="E207" s="355">
        <v>0</v>
      </c>
      <c r="F207" s="358">
        <v>0</v>
      </c>
      <c r="G207" s="355">
        <v>0</v>
      </c>
      <c r="H207" s="358">
        <v>0</v>
      </c>
      <c r="I207" s="358"/>
      <c r="J207" s="358">
        <v>0</v>
      </c>
      <c r="K207" s="356"/>
      <c r="N207" t="s">
        <v>1010</v>
      </c>
    </row>
    <row r="208" spans="1:14" x14ac:dyDescent="0.25">
      <c r="A208" s="359" t="s">
        <v>1366</v>
      </c>
      <c r="B208" t="s">
        <v>1367</v>
      </c>
      <c r="C208" t="s">
        <v>1367</v>
      </c>
      <c r="D208" s="358">
        <v>5473</v>
      </c>
      <c r="E208" s="355">
        <v>0</v>
      </c>
      <c r="F208" s="358">
        <v>10885</v>
      </c>
      <c r="G208" s="355">
        <v>0</v>
      </c>
      <c r="H208" s="358">
        <v>4537.5</v>
      </c>
      <c r="I208" s="358"/>
      <c r="J208" s="358">
        <v>20895.5</v>
      </c>
      <c r="K208" s="356"/>
      <c r="N208" t="s">
        <v>1011</v>
      </c>
    </row>
    <row r="209" spans="1:14" x14ac:dyDescent="0.25">
      <c r="A209" s="359" t="s">
        <v>555</v>
      </c>
      <c r="B209">
        <v>2614882</v>
      </c>
      <c r="C209" t="s">
        <v>1002</v>
      </c>
      <c r="D209" s="358">
        <v>8967.8447368421021</v>
      </c>
      <c r="E209" s="355">
        <v>0</v>
      </c>
      <c r="F209" s="358">
        <v>15536.756421052636</v>
      </c>
      <c r="G209" s="355">
        <v>0</v>
      </c>
      <c r="H209" s="358">
        <v>7221.1555263157888</v>
      </c>
      <c r="I209" s="358"/>
      <c r="J209" s="358">
        <v>31725.756684210526</v>
      </c>
      <c r="K209" s="356"/>
      <c r="N209" t="s">
        <v>1012</v>
      </c>
    </row>
    <row r="210" spans="1:14" x14ac:dyDescent="0.25">
      <c r="A210" s="359" t="s">
        <v>557</v>
      </c>
      <c r="B210" t="s">
        <v>556</v>
      </c>
      <c r="C210" t="s">
        <v>1003</v>
      </c>
      <c r="D210" s="358">
        <v>3136.5305263157898</v>
      </c>
      <c r="E210" s="355">
        <v>0</v>
      </c>
      <c r="F210" s="358">
        <v>5100.0452631578955</v>
      </c>
      <c r="G210" s="355">
        <v>0</v>
      </c>
      <c r="H210" s="358">
        <v>2220.6539473684211</v>
      </c>
      <c r="I210" s="358"/>
      <c r="J210" s="358">
        <v>10457.229736842106</v>
      </c>
      <c r="K210" s="356"/>
      <c r="N210" t="s">
        <v>1013</v>
      </c>
    </row>
    <row r="211" spans="1:14" ht="15" thickBot="1" x14ac:dyDescent="0.4">
      <c r="A211" s="359" t="s">
        <v>560</v>
      </c>
      <c r="B211">
        <v>2498864</v>
      </c>
      <c r="C211" t="s">
        <v>1004</v>
      </c>
      <c r="D211" s="358">
        <v>4095</v>
      </c>
      <c r="E211" s="355">
        <v>0</v>
      </c>
      <c r="F211" s="358">
        <v>9868.6</v>
      </c>
      <c r="G211" s="355">
        <v>0</v>
      </c>
      <c r="H211" s="358">
        <v>4125</v>
      </c>
      <c r="I211" s="358"/>
      <c r="J211" s="358">
        <v>18088.599999999999</v>
      </c>
      <c r="K211" s="363">
        <v>0</v>
      </c>
      <c r="L211" s="343"/>
      <c r="M211" s="374"/>
      <c r="N211">
        <v>0</v>
      </c>
    </row>
    <row r="212" spans="1:14" ht="15.5" thickTop="1" thickBot="1" x14ac:dyDescent="0.4">
      <c r="A212" s="359" t="s">
        <v>562</v>
      </c>
      <c r="B212" t="s">
        <v>561</v>
      </c>
      <c r="C212" t="s">
        <v>1005</v>
      </c>
      <c r="D212" s="358">
        <v>1300</v>
      </c>
      <c r="E212" s="355">
        <v>0</v>
      </c>
      <c r="F212" s="358">
        <v>3837.4736842105272</v>
      </c>
      <c r="G212" s="355">
        <v>0</v>
      </c>
      <c r="H212" s="358">
        <v>1760</v>
      </c>
      <c r="I212" s="358"/>
      <c r="J212" s="358">
        <v>6897.4736842105267</v>
      </c>
      <c r="K212" s="363">
        <v>0</v>
      </c>
      <c r="L212" s="343">
        <v>0</v>
      </c>
      <c r="M212" s="374"/>
    </row>
    <row r="213" spans="1:14" ht="15" thickTop="1" x14ac:dyDescent="0.35">
      <c r="A213" s="359" t="s">
        <v>1006</v>
      </c>
      <c r="B213" t="s">
        <v>1007</v>
      </c>
      <c r="C213" t="s">
        <v>1007</v>
      </c>
      <c r="D213" s="358">
        <v>5395</v>
      </c>
      <c r="E213" s="355">
        <v>0</v>
      </c>
      <c r="F213" s="358">
        <v>15657.8947368421</v>
      </c>
      <c r="G213" s="355">
        <v>0</v>
      </c>
      <c r="H213" s="358">
        <v>4180</v>
      </c>
      <c r="I213" s="358"/>
      <c r="J213" s="358">
        <v>25232.8947368421</v>
      </c>
      <c r="K213" s="517"/>
      <c r="L213" s="374"/>
      <c r="M213" s="374"/>
    </row>
    <row r="214" spans="1:14" ht="14.5" x14ac:dyDescent="0.35">
      <c r="A214" s="359" t="s">
        <v>565</v>
      </c>
      <c r="B214" t="s">
        <v>564</v>
      </c>
      <c r="C214" t="s">
        <v>1008</v>
      </c>
      <c r="D214" s="358">
        <v>6206.9013157894751</v>
      </c>
      <c r="E214" s="355">
        <v>0</v>
      </c>
      <c r="F214" s="358">
        <v>10054.490526315789</v>
      </c>
      <c r="G214" s="355">
        <v>0</v>
      </c>
      <c r="H214" s="358">
        <v>4023.5365789473699</v>
      </c>
      <c r="I214" s="358"/>
      <c r="J214" s="358">
        <v>20284.928421052635</v>
      </c>
      <c r="K214" s="517"/>
      <c r="L214" s="374"/>
      <c r="M214" s="374"/>
    </row>
    <row r="215" spans="1:14" ht="14.5" x14ac:dyDescent="0.35">
      <c r="A215" s="359" t="s">
        <v>567</v>
      </c>
      <c r="B215" t="s">
        <v>566</v>
      </c>
      <c r="C215" t="s">
        <v>1009</v>
      </c>
      <c r="D215" s="358">
        <v>0</v>
      </c>
      <c r="E215" s="355">
        <v>0</v>
      </c>
      <c r="F215" s="358">
        <v>210</v>
      </c>
      <c r="G215" s="355">
        <v>0</v>
      </c>
      <c r="H215" s="358">
        <v>0</v>
      </c>
      <c r="I215" s="358"/>
      <c r="J215" s="358">
        <v>210</v>
      </c>
      <c r="K215" s="517"/>
      <c r="L215" s="374"/>
      <c r="M215" s="374"/>
    </row>
    <row r="216" spans="1:14" ht="14.5" x14ac:dyDescent="0.35">
      <c r="A216" s="359" t="s">
        <v>569</v>
      </c>
      <c r="B216" t="s">
        <v>568</v>
      </c>
      <c r="C216" t="s">
        <v>1010</v>
      </c>
      <c r="D216" s="358">
        <v>10465.906578947357</v>
      </c>
      <c r="E216" s="355">
        <v>0</v>
      </c>
      <c r="F216" s="358">
        <v>19927.484315789487</v>
      </c>
      <c r="G216" s="355">
        <v>0</v>
      </c>
      <c r="H216" s="358">
        <v>8072.977000000009</v>
      </c>
      <c r="I216" s="358"/>
      <c r="J216" s="358">
        <v>38466.367894736853</v>
      </c>
      <c r="K216" s="517"/>
      <c r="L216" s="374"/>
      <c r="M216" s="374"/>
    </row>
    <row r="217" spans="1:14" ht="14.5" x14ac:dyDescent="0.35">
      <c r="A217" s="359" t="s">
        <v>570</v>
      </c>
      <c r="B217">
        <v>2568273</v>
      </c>
      <c r="C217" t="s">
        <v>1011</v>
      </c>
      <c r="D217" s="358">
        <v>0</v>
      </c>
      <c r="E217" s="355">
        <v>0</v>
      </c>
      <c r="F217" s="358">
        <v>0</v>
      </c>
      <c r="G217" s="355">
        <v>0</v>
      </c>
      <c r="H217" s="358">
        <v>0</v>
      </c>
      <c r="I217" s="358"/>
      <c r="J217" s="358">
        <v>0</v>
      </c>
      <c r="K217" s="517"/>
      <c r="L217" s="374"/>
      <c r="M217" s="374"/>
    </row>
    <row r="218" spans="1:14" ht="14.5" x14ac:dyDescent="0.35">
      <c r="A218" s="359" t="s">
        <v>571</v>
      </c>
      <c r="B218">
        <v>509204</v>
      </c>
      <c r="C218" t="s">
        <v>1012</v>
      </c>
      <c r="D218" s="358">
        <v>4970.9297368421039</v>
      </c>
      <c r="E218" s="355">
        <v>0</v>
      </c>
      <c r="F218" s="358">
        <v>11245.312105263156</v>
      </c>
      <c r="G218" s="355">
        <v>0</v>
      </c>
      <c r="H218" s="358">
        <v>3381.6489473684201</v>
      </c>
      <c r="I218" s="358"/>
      <c r="J218" s="358">
        <v>19597.89078947368</v>
      </c>
      <c r="K218" s="517"/>
      <c r="L218" s="374"/>
      <c r="M218" s="374"/>
    </row>
    <row r="219" spans="1:14" ht="14.5" x14ac:dyDescent="0.35">
      <c r="A219" s="359" t="s">
        <v>573</v>
      </c>
      <c r="B219" t="s">
        <v>572</v>
      </c>
      <c r="C219" t="s">
        <v>1013</v>
      </c>
      <c r="D219" s="358">
        <v>0</v>
      </c>
      <c r="E219" s="355">
        <v>0</v>
      </c>
      <c r="F219" s="358">
        <v>0</v>
      </c>
      <c r="G219" s="355">
        <v>0</v>
      </c>
      <c r="H219" s="358">
        <v>0</v>
      </c>
      <c r="I219" s="358"/>
      <c r="J219" s="358">
        <v>0</v>
      </c>
      <c r="K219" s="517"/>
      <c r="L219" s="374"/>
      <c r="M219" s="374"/>
    </row>
    <row r="220" spans="1:14" ht="15" thickBot="1" x14ac:dyDescent="0.4">
      <c r="A220" s="342" t="s">
        <v>601</v>
      </c>
      <c r="B220" s="343"/>
      <c r="C220" s="343"/>
      <c r="D220" s="365">
        <v>192412.59631578947</v>
      </c>
      <c r="E220" s="362">
        <v>0</v>
      </c>
      <c r="F220" s="365">
        <v>409423.3838947367</v>
      </c>
      <c r="G220" s="362">
        <v>0</v>
      </c>
      <c r="H220" s="365">
        <v>152338.86394736846</v>
      </c>
      <c r="I220" s="365">
        <v>0</v>
      </c>
      <c r="J220" s="365">
        <v>754174.84415789461</v>
      </c>
      <c r="K220" s="517"/>
      <c r="L220" s="374"/>
      <c r="M220" s="374"/>
    </row>
    <row r="221" spans="1:14" ht="15.5" thickTop="1" thickBot="1" x14ac:dyDescent="0.4">
      <c r="A221" s="342" t="s">
        <v>1014</v>
      </c>
      <c r="B221" s="343"/>
      <c r="C221" s="343"/>
      <c r="D221" s="371">
        <v>986.73126315789477</v>
      </c>
      <c r="E221" s="362">
        <v>0</v>
      </c>
      <c r="F221" s="371">
        <v>1949.6351614035082</v>
      </c>
      <c r="G221" s="362">
        <v>0</v>
      </c>
      <c r="H221" s="371">
        <v>923.26584210526346</v>
      </c>
      <c r="I221" s="371">
        <v>0</v>
      </c>
      <c r="J221" s="371">
        <v>1323.113761680517</v>
      </c>
      <c r="K221" s="517"/>
      <c r="L221" s="374"/>
      <c r="M221" s="374"/>
    </row>
    <row r="222" spans="1:14" ht="13" thickTop="1" x14ac:dyDescent="0.25">
      <c r="D222" s="378">
        <v>175497.04999999996</v>
      </c>
      <c r="F222" s="378">
        <v>208468.61303502042</v>
      </c>
      <c r="G222" s="378"/>
      <c r="H222" s="378">
        <v>0</v>
      </c>
      <c r="J222" s="380"/>
      <c r="N222">
        <v>0</v>
      </c>
    </row>
    <row r="223" spans="1:14" ht="13" thickBot="1" x14ac:dyDescent="0.3">
      <c r="D223" s="379">
        <v>0</v>
      </c>
      <c r="F223" s="379">
        <v>9.3132257461547852E-10</v>
      </c>
      <c r="G223" s="378"/>
      <c r="H223" s="378">
        <v>-178687.38260144528</v>
      </c>
      <c r="N223">
        <v>0</v>
      </c>
    </row>
    <row r="224" spans="1:14" ht="43.5" x14ac:dyDescent="0.35">
      <c r="C224" s="333" t="s">
        <v>1034</v>
      </c>
      <c r="D224" s="388">
        <v>177629.1</v>
      </c>
      <c r="E224" s="388"/>
      <c r="F224" s="388">
        <v>348384.45600000001</v>
      </c>
      <c r="G224" s="388"/>
      <c r="H224" s="389">
        <v>273730.64399999997</v>
      </c>
      <c r="I224" s="390"/>
      <c r="J224" s="391">
        <v>799744.2</v>
      </c>
    </row>
    <row r="225" spans="3:10" ht="116.5" thickBot="1" x14ac:dyDescent="0.4">
      <c r="C225" s="383" t="s">
        <v>1046</v>
      </c>
      <c r="D225" s="392">
        <v>2132.0499999999884</v>
      </c>
      <c r="E225" s="392"/>
      <c r="F225" s="392">
        <v>139915.84296498052</v>
      </c>
      <c r="G225" s="392"/>
      <c r="H225" s="392">
        <v>95043.261398554692</v>
      </c>
      <c r="I225" s="372"/>
      <c r="J225" s="393">
        <v>237091.1543635352</v>
      </c>
    </row>
    <row r="226" spans="3:10" ht="14.5" x14ac:dyDescent="0.35">
      <c r="C226" s="374"/>
      <c r="D226" s="382"/>
      <c r="E226" s="382"/>
      <c r="F226" s="382"/>
      <c r="G226" s="382"/>
      <c r="H226" s="382"/>
      <c r="I226" s="382"/>
      <c r="J226" s="382"/>
    </row>
    <row r="227" spans="3:10" ht="14.5" x14ac:dyDescent="0.35">
      <c r="C227" s="394" t="s">
        <v>1047</v>
      </c>
      <c r="D227" s="382">
        <v>901.08349999999984</v>
      </c>
      <c r="E227" s="382"/>
      <c r="F227" s="382">
        <v>985.66261904762359</v>
      </c>
      <c r="G227" s="382"/>
      <c r="H227" s="382"/>
      <c r="I227" s="382"/>
      <c r="J227" s="382"/>
    </row>
    <row r="228" spans="3:10" ht="14.5" x14ac:dyDescent="0.35">
      <c r="C228" s="394" t="s">
        <v>1048</v>
      </c>
      <c r="D228" s="382">
        <v>974.98361111111092</v>
      </c>
      <c r="E228" s="382"/>
      <c r="F228" s="382">
        <v>992.70768111914481</v>
      </c>
      <c r="G228" s="382"/>
      <c r="H228" s="382"/>
      <c r="I228" s="382"/>
      <c r="J228" s="382"/>
    </row>
    <row r="229" spans="3:10" ht="14.5" x14ac:dyDescent="0.35">
      <c r="C229" s="374"/>
      <c r="D229" s="386"/>
      <c r="E229" s="386"/>
      <c r="F229" s="386"/>
      <c r="G229" s="386"/>
      <c r="H229" s="386"/>
      <c r="I229" s="386"/>
      <c r="J229" s="386"/>
    </row>
    <row r="230" spans="3:10" ht="13" x14ac:dyDescent="0.25">
      <c r="C230" s="395"/>
      <c r="D230" s="382"/>
      <c r="E230" s="382"/>
      <c r="F230" s="382">
        <v>7.0450620715212153</v>
      </c>
      <c r="G230" s="382"/>
      <c r="H230" s="382"/>
      <c r="I230" s="382"/>
      <c r="J230" s="382"/>
    </row>
  </sheetData>
  <autoFilter ref="A4:N225" xr:uid="{D5E55CD8-698C-45ED-B978-1AE5DA95019C}"/>
  <mergeCells count="1">
    <mergeCell ref="D3:K3"/>
  </mergeCells>
  <conditionalFormatting sqref="B1:B59 B61:B1048576">
    <cfRule type="duplicateValues" dxfId="10" priority="2"/>
  </conditionalFormatting>
  <conditionalFormatting sqref="B60">
    <cfRule type="duplicateValues" dxfId="9" priority="1"/>
  </conditionalFormatting>
  <conditionalFormatting sqref="B149:C149">
    <cfRule type="containsBlanks" dxfId="8" priority="3">
      <formula>LEN(TRIM(B149))=0</formula>
    </cfRule>
  </conditionalFormatting>
  <conditionalFormatting sqref="B189:C189">
    <cfRule type="containsBlanks" dxfId="7" priority="4">
      <formula>LEN(TRIM(B189))=0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6C84A-0E20-4EEE-9200-B9380401005F}">
  <sheetPr codeName="Sheet18">
    <tabColor rgb="FF7030A0"/>
  </sheetPr>
  <dimension ref="A1:N225"/>
  <sheetViews>
    <sheetView topLeftCell="A34" workbookViewId="0">
      <selection activeCell="U64" sqref="U64"/>
    </sheetView>
  </sheetViews>
  <sheetFormatPr defaultRowHeight="12.5" x14ac:dyDescent="0.25"/>
  <cols>
    <col min="1" max="1" width="36.6328125" customWidth="1"/>
    <col min="5" max="5" width="0" hidden="1" customWidth="1"/>
    <col min="7" max="7" width="0" hidden="1" customWidth="1"/>
    <col min="9" max="9" width="0" hidden="1" customWidth="1"/>
    <col min="11" max="11" width="0" hidden="1" customWidth="1"/>
  </cols>
  <sheetData>
    <row r="1" spans="1:14" ht="18.5" x14ac:dyDescent="0.45">
      <c r="A1" s="326" t="s">
        <v>777</v>
      </c>
    </row>
    <row r="2" spans="1:14" ht="13" thickBot="1" x14ac:dyDescent="0.3"/>
    <row r="3" spans="1:14" ht="15" thickBot="1" x14ac:dyDescent="0.4">
      <c r="D3" s="807" t="s">
        <v>779</v>
      </c>
      <c r="E3" s="808"/>
      <c r="F3" s="808"/>
      <c r="G3" s="808"/>
      <c r="H3" s="808"/>
      <c r="I3" s="808"/>
      <c r="J3" s="808"/>
      <c r="K3" s="809"/>
      <c r="L3" s="359"/>
    </row>
    <row r="4" spans="1:14" ht="102" thickBot="1" x14ac:dyDescent="0.4">
      <c r="A4" s="330" t="s">
        <v>1</v>
      </c>
      <c r="B4" s="331" t="s">
        <v>595</v>
      </c>
      <c r="C4" s="332" t="s">
        <v>780</v>
      </c>
      <c r="D4" s="336" t="s">
        <v>782</v>
      </c>
      <c r="E4" s="332" t="s">
        <v>784</v>
      </c>
      <c r="F4" s="336" t="s">
        <v>786</v>
      </c>
      <c r="G4" s="336" t="s">
        <v>788</v>
      </c>
      <c r="H4" s="336" t="s">
        <v>1035</v>
      </c>
      <c r="I4" s="336" t="s">
        <v>790</v>
      </c>
      <c r="J4" s="336" t="s">
        <v>792</v>
      </c>
      <c r="K4" s="339" t="s">
        <v>794</v>
      </c>
      <c r="L4" s="372"/>
      <c r="M4" s="373" t="s">
        <v>594</v>
      </c>
      <c r="N4" s="373" t="s">
        <v>752</v>
      </c>
    </row>
    <row r="5" spans="1:14" ht="15" thickBot="1" x14ac:dyDescent="0.4">
      <c r="A5" s="342" t="s">
        <v>803</v>
      </c>
      <c r="B5" s="343"/>
      <c r="C5" s="343"/>
      <c r="D5" s="349">
        <v>2730</v>
      </c>
      <c r="E5" s="346">
        <v>0</v>
      </c>
      <c r="F5" s="349">
        <v>5852</v>
      </c>
      <c r="G5" s="349">
        <v>0</v>
      </c>
      <c r="H5" s="349">
        <v>1397</v>
      </c>
      <c r="I5" s="349"/>
      <c r="J5" s="349">
        <v>9979</v>
      </c>
      <c r="K5" s="347"/>
      <c r="L5" s="350"/>
      <c r="M5" s="374"/>
      <c r="N5" s="374"/>
    </row>
    <row r="6" spans="1:14" ht="13" thickTop="1" x14ac:dyDescent="0.25">
      <c r="A6" s="351" t="s">
        <v>321</v>
      </c>
      <c r="B6">
        <v>1014</v>
      </c>
      <c r="C6" s="352" t="s">
        <v>804</v>
      </c>
      <c r="D6" s="358">
        <v>0</v>
      </c>
      <c r="E6" s="355">
        <v>0</v>
      </c>
      <c r="F6" s="358">
        <v>0</v>
      </c>
      <c r="G6" s="358">
        <v>0</v>
      </c>
      <c r="H6" s="358">
        <v>0</v>
      </c>
      <c r="I6" s="358"/>
      <c r="J6" s="358">
        <v>0</v>
      </c>
      <c r="K6" s="356"/>
      <c r="M6" t="s">
        <v>604</v>
      </c>
      <c r="N6" t="s">
        <v>804</v>
      </c>
    </row>
    <row r="7" spans="1:14" x14ac:dyDescent="0.25">
      <c r="A7" s="359" t="s">
        <v>322</v>
      </c>
      <c r="B7">
        <v>1006</v>
      </c>
      <c r="C7" t="s">
        <v>805</v>
      </c>
      <c r="D7" s="358">
        <v>2730</v>
      </c>
      <c r="E7" s="355">
        <v>0</v>
      </c>
      <c r="F7" s="358">
        <v>5852</v>
      </c>
      <c r="G7" s="358">
        <v>0</v>
      </c>
      <c r="H7" s="358">
        <v>1397</v>
      </c>
      <c r="I7" s="358"/>
      <c r="J7" s="358">
        <v>9979</v>
      </c>
      <c r="K7" s="356"/>
      <c r="M7" t="s">
        <v>609</v>
      </c>
      <c r="N7" t="s">
        <v>805</v>
      </c>
    </row>
    <row r="8" spans="1:14" x14ac:dyDescent="0.25">
      <c r="A8" s="359" t="s">
        <v>323</v>
      </c>
      <c r="B8">
        <v>1008</v>
      </c>
      <c r="C8" t="s">
        <v>806</v>
      </c>
      <c r="D8" s="358">
        <v>0</v>
      </c>
      <c r="E8" s="355">
        <v>0</v>
      </c>
      <c r="F8" s="358">
        <v>0</v>
      </c>
      <c r="G8" s="358">
        <v>0</v>
      </c>
      <c r="H8" s="358">
        <v>0</v>
      </c>
      <c r="I8" s="358"/>
      <c r="J8" s="358">
        <v>0</v>
      </c>
      <c r="K8" s="356"/>
      <c r="M8" t="s">
        <v>610</v>
      </c>
      <c r="N8" t="s">
        <v>806</v>
      </c>
    </row>
    <row r="9" spans="1:14" x14ac:dyDescent="0.25">
      <c r="A9" s="359" t="s">
        <v>324</v>
      </c>
      <c r="B9">
        <v>1005</v>
      </c>
      <c r="C9" t="s">
        <v>807</v>
      </c>
      <c r="D9" s="358">
        <v>0</v>
      </c>
      <c r="E9" s="355">
        <v>0</v>
      </c>
      <c r="F9" s="358">
        <v>0</v>
      </c>
      <c r="G9" s="358">
        <v>0</v>
      </c>
      <c r="H9" s="358">
        <v>0</v>
      </c>
      <c r="I9" s="358"/>
      <c r="J9" s="358">
        <v>0</v>
      </c>
      <c r="K9" s="356"/>
      <c r="M9" t="s">
        <v>611</v>
      </c>
      <c r="N9" t="s">
        <v>807</v>
      </c>
    </row>
    <row r="10" spans="1:14" x14ac:dyDescent="0.25">
      <c r="A10" s="359" t="s">
        <v>325</v>
      </c>
      <c r="B10">
        <v>1010</v>
      </c>
      <c r="C10" t="s">
        <v>808</v>
      </c>
      <c r="D10" s="358">
        <v>0</v>
      </c>
      <c r="E10" s="355">
        <v>0</v>
      </c>
      <c r="F10" s="358">
        <v>0</v>
      </c>
      <c r="G10" s="358">
        <v>0</v>
      </c>
      <c r="H10" s="358">
        <v>0</v>
      </c>
      <c r="I10" s="358"/>
      <c r="J10" s="358">
        <v>0</v>
      </c>
      <c r="K10" s="356"/>
      <c r="M10" t="s">
        <v>623</v>
      </c>
      <c r="N10" t="s">
        <v>808</v>
      </c>
    </row>
    <row r="11" spans="1:14" x14ac:dyDescent="0.25">
      <c r="A11" s="359" t="s">
        <v>326</v>
      </c>
      <c r="B11">
        <v>1009</v>
      </c>
      <c r="C11" t="s">
        <v>809</v>
      </c>
      <c r="D11" s="358">
        <v>0</v>
      </c>
      <c r="E11" s="355">
        <v>0</v>
      </c>
      <c r="F11" s="358">
        <v>0</v>
      </c>
      <c r="G11" s="358">
        <v>0</v>
      </c>
      <c r="H11" s="358">
        <v>0</v>
      </c>
      <c r="I11" s="358"/>
      <c r="J11" s="358">
        <v>0</v>
      </c>
      <c r="K11" s="356"/>
      <c r="M11" t="s">
        <v>624</v>
      </c>
      <c r="N11" t="s">
        <v>809</v>
      </c>
    </row>
    <row r="12" spans="1:14" x14ac:dyDescent="0.25">
      <c r="A12" s="359" t="s">
        <v>327</v>
      </c>
      <c r="B12">
        <v>1015</v>
      </c>
      <c r="C12" t="s">
        <v>810</v>
      </c>
      <c r="D12" s="358">
        <v>0</v>
      </c>
      <c r="E12" s="355">
        <v>0</v>
      </c>
      <c r="F12" s="358">
        <v>0</v>
      </c>
      <c r="G12" s="358">
        <v>0</v>
      </c>
      <c r="H12" s="358">
        <v>0</v>
      </c>
      <c r="I12" s="358"/>
      <c r="J12" s="358">
        <v>0</v>
      </c>
      <c r="K12" s="356"/>
      <c r="M12" t="s">
        <v>625</v>
      </c>
      <c r="N12" t="s">
        <v>810</v>
      </c>
    </row>
    <row r="13" spans="1:14" ht="15" thickBot="1" x14ac:dyDescent="0.4">
      <c r="A13" s="342" t="s">
        <v>593</v>
      </c>
      <c r="B13" s="343"/>
      <c r="C13" s="343"/>
      <c r="D13" s="365">
        <v>0</v>
      </c>
      <c r="E13" s="362">
        <v>0</v>
      </c>
      <c r="F13" s="365">
        <v>0</v>
      </c>
      <c r="G13" s="365">
        <v>0</v>
      </c>
      <c r="H13" s="365">
        <v>0</v>
      </c>
      <c r="I13" s="365"/>
      <c r="J13" s="365">
        <v>0</v>
      </c>
      <c r="K13" s="363"/>
      <c r="L13" s="343"/>
      <c r="M13" s="374"/>
      <c r="N13">
        <v>0</v>
      </c>
    </row>
    <row r="14" spans="1:14" ht="13" thickTop="1" x14ac:dyDescent="0.25">
      <c r="A14" s="359" t="s">
        <v>70</v>
      </c>
      <c r="B14">
        <v>2443</v>
      </c>
      <c r="C14" t="s">
        <v>811</v>
      </c>
      <c r="D14" s="358">
        <v>0</v>
      </c>
      <c r="E14" s="355">
        <v>0</v>
      </c>
      <c r="F14" s="358">
        <v>0</v>
      </c>
      <c r="G14" s="358">
        <v>0</v>
      </c>
      <c r="H14" s="358">
        <v>0</v>
      </c>
      <c r="I14" s="358"/>
      <c r="J14" s="358">
        <v>0</v>
      </c>
      <c r="K14" s="356"/>
      <c r="M14" t="s">
        <v>602</v>
      </c>
      <c r="N14" t="s">
        <v>811</v>
      </c>
    </row>
    <row r="15" spans="1:14" x14ac:dyDescent="0.25">
      <c r="A15" s="359" t="s">
        <v>64</v>
      </c>
      <c r="B15">
        <v>2405</v>
      </c>
      <c r="C15" t="s">
        <v>812</v>
      </c>
      <c r="D15" s="358">
        <v>0</v>
      </c>
      <c r="E15" s="355">
        <v>0</v>
      </c>
      <c r="F15" s="358">
        <v>0</v>
      </c>
      <c r="G15" s="358">
        <v>0</v>
      </c>
      <c r="H15" s="358">
        <v>0</v>
      </c>
      <c r="I15" s="358"/>
      <c r="J15" s="358">
        <v>0</v>
      </c>
      <c r="K15" s="356"/>
      <c r="M15" t="s">
        <v>605</v>
      </c>
      <c r="N15" t="s">
        <v>812</v>
      </c>
    </row>
    <row r="16" spans="1:14" x14ac:dyDescent="0.25">
      <c r="A16" s="359" t="s">
        <v>606</v>
      </c>
      <c r="B16">
        <v>4177</v>
      </c>
      <c r="C16" t="s">
        <v>813</v>
      </c>
      <c r="D16" s="358">
        <v>0</v>
      </c>
      <c r="E16" s="355">
        <v>0</v>
      </c>
      <c r="F16" s="358">
        <v>0</v>
      </c>
      <c r="G16" s="358">
        <v>0</v>
      </c>
      <c r="H16" s="358">
        <v>0</v>
      </c>
      <c r="I16" s="358"/>
      <c r="J16" s="358">
        <v>0</v>
      </c>
      <c r="K16" s="356"/>
      <c r="M16" t="s">
        <v>607</v>
      </c>
      <c r="N16" t="s">
        <v>813</v>
      </c>
    </row>
    <row r="17" spans="1:14" x14ac:dyDescent="0.25">
      <c r="A17" s="359" t="s">
        <v>72</v>
      </c>
      <c r="B17">
        <v>2449</v>
      </c>
      <c r="C17" t="s">
        <v>814</v>
      </c>
      <c r="D17" s="358">
        <v>0</v>
      </c>
      <c r="E17" s="355">
        <v>0</v>
      </c>
      <c r="F17" s="358">
        <v>0</v>
      </c>
      <c r="G17" s="358">
        <v>0</v>
      </c>
      <c r="H17" s="358">
        <v>0</v>
      </c>
      <c r="I17" s="358"/>
      <c r="J17" s="358">
        <v>0</v>
      </c>
      <c r="K17" s="356"/>
      <c r="M17" t="s">
        <v>608</v>
      </c>
      <c r="N17" t="s">
        <v>814</v>
      </c>
    </row>
    <row r="18" spans="1:14" x14ac:dyDescent="0.25">
      <c r="A18" s="359" t="s">
        <v>73</v>
      </c>
      <c r="B18">
        <v>2452</v>
      </c>
      <c r="C18" t="s">
        <v>815</v>
      </c>
      <c r="D18" s="358">
        <v>0</v>
      </c>
      <c r="E18" s="355">
        <v>0</v>
      </c>
      <c r="F18" s="358">
        <v>0</v>
      </c>
      <c r="G18" s="358">
        <v>0</v>
      </c>
      <c r="H18" s="358">
        <v>0</v>
      </c>
      <c r="I18" s="358"/>
      <c r="J18" s="358">
        <v>0</v>
      </c>
      <c r="K18" s="356"/>
      <c r="M18" t="s">
        <v>612</v>
      </c>
      <c r="N18" t="s">
        <v>815</v>
      </c>
    </row>
    <row r="19" spans="1:14" x14ac:dyDescent="0.25">
      <c r="A19" s="359" t="s">
        <v>613</v>
      </c>
      <c r="B19">
        <v>2473</v>
      </c>
      <c r="C19" t="s">
        <v>816</v>
      </c>
      <c r="D19" s="358">
        <v>0</v>
      </c>
      <c r="E19" s="355">
        <v>0</v>
      </c>
      <c r="F19" s="358">
        <v>0</v>
      </c>
      <c r="G19" s="358">
        <v>0</v>
      </c>
      <c r="H19" s="358">
        <v>0</v>
      </c>
      <c r="I19" s="358"/>
      <c r="J19" s="358">
        <v>0</v>
      </c>
      <c r="K19" s="356"/>
      <c r="M19" t="s">
        <v>614</v>
      </c>
      <c r="N19" t="s">
        <v>816</v>
      </c>
    </row>
    <row r="20" spans="1:14" x14ac:dyDescent="0.25">
      <c r="A20" s="359" t="s">
        <v>62</v>
      </c>
      <c r="B20">
        <v>2003</v>
      </c>
      <c r="C20" t="s">
        <v>817</v>
      </c>
      <c r="D20" s="358">
        <v>0</v>
      </c>
      <c r="E20" s="355">
        <v>0</v>
      </c>
      <c r="F20" s="358">
        <v>0</v>
      </c>
      <c r="G20" s="358">
        <v>0</v>
      </c>
      <c r="H20" s="358">
        <v>0</v>
      </c>
      <c r="I20" s="358"/>
      <c r="J20" s="358">
        <v>0</v>
      </c>
      <c r="K20" s="356"/>
      <c r="M20" t="s">
        <v>615</v>
      </c>
      <c r="N20" t="s">
        <v>817</v>
      </c>
    </row>
    <row r="21" spans="1:14" x14ac:dyDescent="0.25">
      <c r="A21" s="359" t="s">
        <v>77</v>
      </c>
      <c r="B21">
        <v>2462</v>
      </c>
      <c r="C21" t="s">
        <v>818</v>
      </c>
      <c r="D21" s="358">
        <v>0</v>
      </c>
      <c r="E21" s="355">
        <v>0</v>
      </c>
      <c r="F21" s="358">
        <v>0</v>
      </c>
      <c r="G21" s="358">
        <v>0</v>
      </c>
      <c r="H21" s="358">
        <v>0</v>
      </c>
      <c r="I21" s="358"/>
      <c r="J21" s="358">
        <v>0</v>
      </c>
      <c r="K21" s="356"/>
      <c r="M21" t="s">
        <v>616</v>
      </c>
      <c r="N21" t="s">
        <v>818</v>
      </c>
    </row>
    <row r="22" spans="1:14" x14ac:dyDescent="0.25">
      <c r="A22" s="359" t="s">
        <v>80</v>
      </c>
      <c r="B22">
        <v>2505</v>
      </c>
      <c r="C22" t="s">
        <v>819</v>
      </c>
      <c r="D22" s="358">
        <v>0</v>
      </c>
      <c r="E22" s="355">
        <v>0</v>
      </c>
      <c r="F22" s="358">
        <v>0</v>
      </c>
      <c r="G22" s="358">
        <v>0</v>
      </c>
      <c r="H22" s="358">
        <v>0</v>
      </c>
      <c r="I22" s="358"/>
      <c r="J22" s="358">
        <v>0</v>
      </c>
      <c r="K22" s="356"/>
      <c r="M22" t="s">
        <v>617</v>
      </c>
      <c r="N22" t="s">
        <v>819</v>
      </c>
    </row>
    <row r="23" spans="1:14" x14ac:dyDescent="0.25">
      <c r="A23" s="359" t="s">
        <v>61</v>
      </c>
      <c r="B23">
        <v>2001</v>
      </c>
      <c r="C23" t="s">
        <v>820</v>
      </c>
      <c r="D23" s="358">
        <v>0</v>
      </c>
      <c r="E23" s="355">
        <v>0</v>
      </c>
      <c r="F23" s="358">
        <v>0</v>
      </c>
      <c r="G23" s="358">
        <v>0</v>
      </c>
      <c r="H23" s="358">
        <v>0</v>
      </c>
      <c r="I23" s="358"/>
      <c r="J23" s="358">
        <v>0</v>
      </c>
      <c r="K23" s="356"/>
      <c r="M23" t="s">
        <v>618</v>
      </c>
      <c r="N23" t="s">
        <v>820</v>
      </c>
    </row>
    <row r="24" spans="1:14" x14ac:dyDescent="0.25">
      <c r="A24" s="359" t="s">
        <v>67</v>
      </c>
      <c r="B24">
        <v>2429</v>
      </c>
      <c r="C24" t="s">
        <v>821</v>
      </c>
      <c r="D24" s="358">
        <v>0</v>
      </c>
      <c r="E24" s="355">
        <v>0</v>
      </c>
      <c r="F24" s="358">
        <v>0</v>
      </c>
      <c r="G24" s="358">
        <v>0</v>
      </c>
      <c r="H24" s="358">
        <v>0</v>
      </c>
      <c r="I24" s="358"/>
      <c r="J24" s="358">
        <v>0</v>
      </c>
      <c r="K24" s="356"/>
      <c r="M24" t="s">
        <v>619</v>
      </c>
      <c r="N24" t="s">
        <v>821</v>
      </c>
    </row>
    <row r="25" spans="1:14" x14ac:dyDescent="0.25">
      <c r="A25" s="359" t="s">
        <v>71</v>
      </c>
      <c r="B25">
        <v>2444</v>
      </c>
      <c r="C25" t="s">
        <v>822</v>
      </c>
      <c r="D25" s="358">
        <v>0</v>
      </c>
      <c r="E25" s="355">
        <v>0</v>
      </c>
      <c r="F25" s="358">
        <v>0</v>
      </c>
      <c r="G25" s="358">
        <v>0</v>
      </c>
      <c r="H25" s="358">
        <v>0</v>
      </c>
      <c r="I25" s="358"/>
      <c r="J25" s="358">
        <v>0</v>
      </c>
      <c r="K25" s="356"/>
      <c r="M25" t="s">
        <v>620</v>
      </c>
      <c r="N25" t="s">
        <v>822</v>
      </c>
    </row>
    <row r="26" spans="1:14" x14ac:dyDescent="0.25">
      <c r="A26" s="359" t="s">
        <v>621</v>
      </c>
      <c r="B26">
        <v>3526</v>
      </c>
      <c r="C26" t="s">
        <v>823</v>
      </c>
      <c r="D26" s="358">
        <v>0</v>
      </c>
      <c r="E26" s="355">
        <v>0</v>
      </c>
      <c r="F26" s="358">
        <v>0</v>
      </c>
      <c r="G26" s="358">
        <v>0</v>
      </c>
      <c r="H26" s="358">
        <v>0</v>
      </c>
      <c r="I26" s="358"/>
      <c r="J26" s="358">
        <v>0</v>
      </c>
      <c r="K26" s="356"/>
      <c r="M26" t="s">
        <v>622</v>
      </c>
      <c r="N26" t="s">
        <v>823</v>
      </c>
    </row>
    <row r="27" spans="1:14" ht="15" thickBot="1" x14ac:dyDescent="0.4">
      <c r="A27" s="342" t="s">
        <v>261</v>
      </c>
      <c r="B27" s="343"/>
      <c r="C27" s="343"/>
      <c r="D27" s="365">
        <v>0</v>
      </c>
      <c r="E27" s="362">
        <v>0</v>
      </c>
      <c r="F27" s="365">
        <v>0</v>
      </c>
      <c r="G27" s="365">
        <v>0</v>
      </c>
      <c r="H27" s="365">
        <v>0</v>
      </c>
      <c r="I27" s="365"/>
      <c r="J27" s="365">
        <v>0</v>
      </c>
      <c r="K27" s="363"/>
      <c r="L27" s="343"/>
      <c r="M27" s="374"/>
      <c r="N27">
        <v>0</v>
      </c>
    </row>
    <row r="28" spans="1:14" ht="13" thickTop="1" x14ac:dyDescent="0.25">
      <c r="A28" s="359" t="s">
        <v>123</v>
      </c>
      <c r="B28">
        <v>2629</v>
      </c>
      <c r="C28" t="s">
        <v>824</v>
      </c>
      <c r="D28" s="358">
        <v>0</v>
      </c>
      <c r="E28" s="355">
        <v>0</v>
      </c>
      <c r="F28" s="358">
        <v>0</v>
      </c>
      <c r="G28" s="358">
        <v>0</v>
      </c>
      <c r="H28" s="358">
        <v>0</v>
      </c>
      <c r="I28" s="358"/>
      <c r="J28" s="358">
        <v>0</v>
      </c>
      <c r="K28" s="356"/>
      <c r="N28" t="s">
        <v>824</v>
      </c>
    </row>
    <row r="29" spans="1:14" x14ac:dyDescent="0.25">
      <c r="A29" s="359" t="s">
        <v>627</v>
      </c>
      <c r="B29">
        <v>2509</v>
      </c>
      <c r="C29" t="s">
        <v>825</v>
      </c>
      <c r="D29" s="358">
        <v>0</v>
      </c>
      <c r="E29" s="355">
        <v>0</v>
      </c>
      <c r="F29" s="358">
        <v>0</v>
      </c>
      <c r="G29" s="358">
        <v>0</v>
      </c>
      <c r="H29" s="358">
        <v>0</v>
      </c>
      <c r="I29" s="358"/>
      <c r="J29" s="358">
        <v>0</v>
      </c>
      <c r="K29" s="356"/>
      <c r="N29" t="s">
        <v>825</v>
      </c>
    </row>
    <row r="30" spans="1:14" x14ac:dyDescent="0.25">
      <c r="A30" s="359" t="s">
        <v>628</v>
      </c>
      <c r="B30">
        <v>2021</v>
      </c>
      <c r="C30" t="s">
        <v>826</v>
      </c>
      <c r="D30" s="358">
        <v>0</v>
      </c>
      <c r="E30" s="355">
        <v>0</v>
      </c>
      <c r="F30" s="358">
        <v>0</v>
      </c>
      <c r="G30" s="358">
        <v>0</v>
      </c>
      <c r="H30" s="358">
        <v>0</v>
      </c>
      <c r="I30" s="358"/>
      <c r="J30" s="358">
        <v>0</v>
      </c>
      <c r="K30" s="356"/>
      <c r="N30" t="s">
        <v>826</v>
      </c>
    </row>
    <row r="31" spans="1:14" x14ac:dyDescent="0.25">
      <c r="A31" s="359" t="s">
        <v>116</v>
      </c>
      <c r="B31">
        <v>2464</v>
      </c>
      <c r="C31" t="s">
        <v>827</v>
      </c>
      <c r="D31" s="358">
        <v>0</v>
      </c>
      <c r="E31" s="355">
        <v>0</v>
      </c>
      <c r="F31" s="358">
        <v>0</v>
      </c>
      <c r="G31" s="358">
        <v>0</v>
      </c>
      <c r="H31" s="358">
        <v>0</v>
      </c>
      <c r="I31" s="358"/>
      <c r="J31" s="358">
        <v>0</v>
      </c>
      <c r="K31" s="356"/>
      <c r="N31" t="s">
        <v>827</v>
      </c>
    </row>
    <row r="32" spans="1:14" x14ac:dyDescent="0.25">
      <c r="A32" s="359" t="s">
        <v>88</v>
      </c>
      <c r="B32">
        <v>2004</v>
      </c>
      <c r="C32" t="s">
        <v>828</v>
      </c>
      <c r="D32" s="358">
        <v>0</v>
      </c>
      <c r="E32" s="355">
        <v>0</v>
      </c>
      <c r="F32" s="358">
        <v>0</v>
      </c>
      <c r="G32" s="358">
        <v>0</v>
      </c>
      <c r="H32" s="358">
        <v>0</v>
      </c>
      <c r="I32" s="358"/>
      <c r="J32" s="358">
        <v>0</v>
      </c>
      <c r="K32" s="356"/>
      <c r="N32" t="s">
        <v>828</v>
      </c>
    </row>
    <row r="33" spans="1:14" x14ac:dyDescent="0.25">
      <c r="A33" s="359" t="s">
        <v>629</v>
      </c>
      <c r="B33">
        <v>2432</v>
      </c>
      <c r="C33" t="s">
        <v>829</v>
      </c>
      <c r="D33" s="358">
        <v>0</v>
      </c>
      <c r="E33" s="355">
        <v>0</v>
      </c>
      <c r="F33" s="358">
        <v>0</v>
      </c>
      <c r="G33" s="358">
        <v>0</v>
      </c>
      <c r="H33" s="358">
        <v>0</v>
      </c>
      <c r="I33" s="358"/>
      <c r="J33" s="358">
        <v>0</v>
      </c>
      <c r="K33" s="356"/>
      <c r="N33" t="s">
        <v>829</v>
      </c>
    </row>
    <row r="34" spans="1:14" x14ac:dyDescent="0.25">
      <c r="A34" s="359" t="s">
        <v>100</v>
      </c>
      <c r="B34">
        <v>2018</v>
      </c>
      <c r="C34" t="s">
        <v>830</v>
      </c>
      <c r="D34" s="358">
        <v>0</v>
      </c>
      <c r="E34" s="355">
        <v>0</v>
      </c>
      <c r="F34" s="358">
        <v>0</v>
      </c>
      <c r="G34" s="358">
        <v>0</v>
      </c>
      <c r="H34" s="358">
        <v>0</v>
      </c>
      <c r="I34" s="358"/>
      <c r="J34" s="358">
        <v>0</v>
      </c>
      <c r="K34" s="356"/>
      <c r="N34" t="s">
        <v>830</v>
      </c>
    </row>
    <row r="35" spans="1:14" x14ac:dyDescent="0.25">
      <c r="A35" s="359" t="s">
        <v>121</v>
      </c>
      <c r="B35">
        <v>2512</v>
      </c>
      <c r="C35" t="s">
        <v>831</v>
      </c>
      <c r="D35" s="358">
        <v>0</v>
      </c>
      <c r="E35" s="355">
        <v>0</v>
      </c>
      <c r="F35" s="358">
        <v>0</v>
      </c>
      <c r="G35" s="358">
        <v>0</v>
      </c>
      <c r="H35" s="358">
        <v>0</v>
      </c>
      <c r="I35" s="358"/>
      <c r="J35" s="358">
        <v>0</v>
      </c>
      <c r="K35" s="356"/>
      <c r="N35" t="s">
        <v>831</v>
      </c>
    </row>
    <row r="36" spans="1:14" x14ac:dyDescent="0.25">
      <c r="A36" s="359" t="s">
        <v>630</v>
      </c>
      <c r="B36">
        <v>2011</v>
      </c>
      <c r="C36" t="s">
        <v>832</v>
      </c>
      <c r="D36" s="358">
        <v>0</v>
      </c>
      <c r="E36" s="355">
        <v>0</v>
      </c>
      <c r="F36" s="358">
        <v>0</v>
      </c>
      <c r="G36" s="358">
        <v>0</v>
      </c>
      <c r="H36" s="358">
        <v>0</v>
      </c>
      <c r="I36" s="358"/>
      <c r="J36" s="358">
        <v>0</v>
      </c>
      <c r="K36" s="356"/>
      <c r="N36" t="s">
        <v>832</v>
      </c>
    </row>
    <row r="37" spans="1:14" x14ac:dyDescent="0.25">
      <c r="A37" s="359" t="s">
        <v>135</v>
      </c>
      <c r="B37">
        <v>5201</v>
      </c>
      <c r="C37" t="s">
        <v>833</v>
      </c>
      <c r="D37" s="358">
        <v>0</v>
      </c>
      <c r="E37" s="355">
        <v>0</v>
      </c>
      <c r="F37" s="358">
        <v>0</v>
      </c>
      <c r="G37" s="358">
        <v>0</v>
      </c>
      <c r="H37" s="358">
        <v>0</v>
      </c>
      <c r="I37" s="358"/>
      <c r="J37" s="358">
        <v>0</v>
      </c>
      <c r="K37" s="356"/>
      <c r="N37" t="s">
        <v>833</v>
      </c>
    </row>
    <row r="38" spans="1:14" x14ac:dyDescent="0.25">
      <c r="A38" s="359" t="s">
        <v>631</v>
      </c>
      <c r="B38">
        <v>2456</v>
      </c>
      <c r="C38" t="s">
        <v>834</v>
      </c>
      <c r="D38" s="358">
        <v>0</v>
      </c>
      <c r="E38" s="355">
        <v>0</v>
      </c>
      <c r="F38" s="358">
        <v>0</v>
      </c>
      <c r="G38" s="358">
        <v>0</v>
      </c>
      <c r="H38" s="358">
        <v>0</v>
      </c>
      <c r="I38" s="358"/>
      <c r="J38" s="358">
        <v>0</v>
      </c>
      <c r="K38" s="356"/>
      <c r="N38" t="s">
        <v>834</v>
      </c>
    </row>
    <row r="39" spans="1:14" x14ac:dyDescent="0.25">
      <c r="A39" s="359" t="s">
        <v>109</v>
      </c>
      <c r="B39">
        <v>2027</v>
      </c>
      <c r="C39" t="s">
        <v>753</v>
      </c>
      <c r="D39" s="358">
        <v>0</v>
      </c>
      <c r="E39" s="355">
        <v>0</v>
      </c>
      <c r="F39" s="358">
        <v>0</v>
      </c>
      <c r="G39" s="358">
        <v>0</v>
      </c>
      <c r="H39" s="358">
        <v>0</v>
      </c>
      <c r="I39" s="358"/>
      <c r="J39" s="358">
        <v>0</v>
      </c>
      <c r="K39" s="356"/>
      <c r="N39" t="s">
        <v>753</v>
      </c>
    </row>
    <row r="40" spans="1:14" x14ac:dyDescent="0.25">
      <c r="A40" s="359" t="s">
        <v>118</v>
      </c>
      <c r="B40">
        <v>2467</v>
      </c>
      <c r="C40" t="s">
        <v>836</v>
      </c>
      <c r="D40" s="358">
        <v>0</v>
      </c>
      <c r="E40" s="355">
        <v>0</v>
      </c>
      <c r="F40" s="358">
        <v>0</v>
      </c>
      <c r="G40" s="358">
        <v>0</v>
      </c>
      <c r="H40" s="358">
        <v>0</v>
      </c>
      <c r="I40" s="358"/>
      <c r="J40" s="358">
        <v>0</v>
      </c>
      <c r="K40" s="356"/>
      <c r="N40" t="s">
        <v>836</v>
      </c>
    </row>
    <row r="41" spans="1:14" x14ac:dyDescent="0.25">
      <c r="A41" s="359" t="s">
        <v>112</v>
      </c>
      <c r="B41">
        <v>2451</v>
      </c>
      <c r="C41" t="s">
        <v>837</v>
      </c>
      <c r="D41" s="358">
        <v>0</v>
      </c>
      <c r="E41" s="355">
        <v>0</v>
      </c>
      <c r="F41" s="358">
        <v>0</v>
      </c>
      <c r="G41" s="358">
        <v>0</v>
      </c>
      <c r="H41" s="358">
        <v>0</v>
      </c>
      <c r="I41" s="358"/>
      <c r="J41" s="358">
        <v>0</v>
      </c>
      <c r="K41" s="356"/>
      <c r="N41" t="s">
        <v>837</v>
      </c>
    </row>
    <row r="42" spans="1:14" x14ac:dyDescent="0.25">
      <c r="A42" s="359" t="s">
        <v>632</v>
      </c>
      <c r="B42">
        <v>2023</v>
      </c>
      <c r="C42" t="s">
        <v>838</v>
      </c>
      <c r="D42" s="358">
        <v>0</v>
      </c>
      <c r="E42" s="355">
        <v>0</v>
      </c>
      <c r="F42" s="358">
        <v>0</v>
      </c>
      <c r="G42" s="358">
        <v>0</v>
      </c>
      <c r="H42" s="358">
        <v>0</v>
      </c>
      <c r="I42" s="358"/>
      <c r="J42" s="358">
        <v>0</v>
      </c>
      <c r="K42" s="356"/>
      <c r="N42" t="s">
        <v>838</v>
      </c>
    </row>
    <row r="43" spans="1:14" x14ac:dyDescent="0.25">
      <c r="A43" s="359" t="s">
        <v>633</v>
      </c>
      <c r="B43">
        <v>2016</v>
      </c>
      <c r="C43" t="s">
        <v>839</v>
      </c>
      <c r="D43" s="358">
        <v>0</v>
      </c>
      <c r="E43" s="355">
        <v>0</v>
      </c>
      <c r="F43" s="358">
        <v>0</v>
      </c>
      <c r="G43" s="358">
        <v>0</v>
      </c>
      <c r="H43" s="358">
        <v>0</v>
      </c>
      <c r="I43" s="358"/>
      <c r="J43" s="358">
        <v>0</v>
      </c>
      <c r="K43" s="356"/>
      <c r="N43" t="s">
        <v>839</v>
      </c>
    </row>
    <row r="44" spans="1:14" x14ac:dyDescent="0.25">
      <c r="A44" s="359" t="s">
        <v>634</v>
      </c>
      <c r="B44">
        <v>2013</v>
      </c>
      <c r="C44" t="s">
        <v>840</v>
      </c>
      <c r="D44" s="358">
        <v>0</v>
      </c>
      <c r="E44" s="355">
        <v>0</v>
      </c>
      <c r="F44" s="358">
        <v>0</v>
      </c>
      <c r="G44" s="358">
        <v>0</v>
      </c>
      <c r="H44" s="358">
        <v>0</v>
      </c>
      <c r="I44" s="358"/>
      <c r="J44" s="358">
        <v>0</v>
      </c>
      <c r="K44" s="356"/>
      <c r="N44" t="s">
        <v>840</v>
      </c>
    </row>
    <row r="45" spans="1:14" x14ac:dyDescent="0.25">
      <c r="A45" s="359" t="s">
        <v>635</v>
      </c>
      <c r="B45">
        <v>2010</v>
      </c>
      <c r="C45" t="s">
        <v>841</v>
      </c>
      <c r="D45" s="358">
        <v>0</v>
      </c>
      <c r="E45" s="355">
        <v>0</v>
      </c>
      <c r="F45" s="358">
        <v>0</v>
      </c>
      <c r="G45" s="358">
        <v>0</v>
      </c>
      <c r="H45" s="358">
        <v>0</v>
      </c>
      <c r="I45" s="358"/>
      <c r="J45" s="358">
        <v>0</v>
      </c>
      <c r="K45" s="356"/>
      <c r="N45" t="s">
        <v>841</v>
      </c>
    </row>
    <row r="46" spans="1:14" x14ac:dyDescent="0.25">
      <c r="A46" s="359" t="s">
        <v>87</v>
      </c>
      <c r="B46">
        <v>2002</v>
      </c>
      <c r="C46" t="s">
        <v>842</v>
      </c>
      <c r="D46" s="358">
        <v>0</v>
      </c>
      <c r="E46" s="355">
        <v>0</v>
      </c>
      <c r="F46" s="358">
        <v>0</v>
      </c>
      <c r="G46" s="358">
        <v>0</v>
      </c>
      <c r="H46" s="358">
        <v>0</v>
      </c>
      <c r="I46" s="358"/>
      <c r="J46" s="358">
        <v>0</v>
      </c>
      <c r="K46" s="356"/>
      <c r="N46" t="s">
        <v>842</v>
      </c>
    </row>
    <row r="47" spans="1:14" x14ac:dyDescent="0.25">
      <c r="A47" s="359" t="s">
        <v>636</v>
      </c>
      <c r="B47">
        <v>2006</v>
      </c>
      <c r="C47" t="s">
        <v>843</v>
      </c>
      <c r="D47" s="358">
        <v>0</v>
      </c>
      <c r="E47" s="355">
        <v>0</v>
      </c>
      <c r="F47" s="358">
        <v>0</v>
      </c>
      <c r="G47" s="358">
        <v>0</v>
      </c>
      <c r="H47" s="358">
        <v>0</v>
      </c>
      <c r="I47" s="358"/>
      <c r="J47" s="358">
        <v>0</v>
      </c>
      <c r="K47" s="356"/>
      <c r="N47" t="s">
        <v>843</v>
      </c>
    </row>
    <row r="48" spans="1:14" x14ac:dyDescent="0.25">
      <c r="A48" s="359" t="s">
        <v>106</v>
      </c>
      <c r="B48">
        <v>2024</v>
      </c>
      <c r="C48" t="s">
        <v>844</v>
      </c>
      <c r="D48" s="358">
        <v>0</v>
      </c>
      <c r="E48" s="355">
        <v>0</v>
      </c>
      <c r="F48" s="358">
        <v>0</v>
      </c>
      <c r="G48" s="358">
        <v>0</v>
      </c>
      <c r="H48" s="358">
        <v>0</v>
      </c>
      <c r="I48" s="358"/>
      <c r="J48" s="358">
        <v>0</v>
      </c>
      <c r="K48" s="356"/>
      <c r="N48" t="s">
        <v>844</v>
      </c>
    </row>
    <row r="49" spans="1:14" x14ac:dyDescent="0.25">
      <c r="A49" s="359" t="s">
        <v>132</v>
      </c>
      <c r="B49">
        <v>3544</v>
      </c>
      <c r="C49" t="s">
        <v>845</v>
      </c>
      <c r="D49" s="358">
        <v>0</v>
      </c>
      <c r="E49" s="355">
        <v>0</v>
      </c>
      <c r="F49" s="358">
        <v>0</v>
      </c>
      <c r="G49" s="358">
        <v>0</v>
      </c>
      <c r="H49" s="358">
        <v>0</v>
      </c>
      <c r="I49" s="358"/>
      <c r="J49" s="358">
        <v>0</v>
      </c>
      <c r="K49" s="356"/>
      <c r="N49" t="s">
        <v>845</v>
      </c>
    </row>
    <row r="50" spans="1:14" x14ac:dyDescent="0.25">
      <c r="A50" s="359" t="s">
        <v>637</v>
      </c>
      <c r="B50">
        <v>2022</v>
      </c>
      <c r="C50" t="s">
        <v>846</v>
      </c>
      <c r="D50" s="358">
        <v>0</v>
      </c>
      <c r="E50" s="355">
        <v>0</v>
      </c>
      <c r="F50" s="358">
        <v>0</v>
      </c>
      <c r="G50" s="358">
        <v>0</v>
      </c>
      <c r="H50" s="358">
        <v>0</v>
      </c>
      <c r="I50" s="358"/>
      <c r="J50" s="358">
        <v>0</v>
      </c>
      <c r="K50" s="356"/>
      <c r="N50" t="s">
        <v>846</v>
      </c>
    </row>
    <row r="51" spans="1:14" x14ac:dyDescent="0.25">
      <c r="A51" s="359" t="s">
        <v>638</v>
      </c>
      <c r="B51">
        <v>2020</v>
      </c>
      <c r="C51" t="s">
        <v>847</v>
      </c>
      <c r="D51" s="358">
        <v>0</v>
      </c>
      <c r="E51" s="355">
        <v>0</v>
      </c>
      <c r="F51" s="358">
        <v>0</v>
      </c>
      <c r="G51" s="358">
        <v>0</v>
      </c>
      <c r="H51" s="358">
        <v>0</v>
      </c>
      <c r="I51" s="358"/>
      <c r="J51" s="358">
        <v>0</v>
      </c>
      <c r="K51" s="356"/>
      <c r="N51" t="s">
        <v>847</v>
      </c>
    </row>
    <row r="52" spans="1:14" x14ac:dyDescent="0.25">
      <c r="A52" s="359" t="s">
        <v>639</v>
      </c>
      <c r="B52">
        <v>2028</v>
      </c>
      <c r="C52" s="352" t="s">
        <v>848</v>
      </c>
      <c r="D52" s="358">
        <v>0</v>
      </c>
      <c r="E52" s="355">
        <v>0</v>
      </c>
      <c r="F52" s="358">
        <v>0</v>
      </c>
      <c r="G52" s="358">
        <v>0</v>
      </c>
      <c r="H52" s="358">
        <v>0</v>
      </c>
      <c r="I52" s="358"/>
      <c r="J52" s="358">
        <v>0</v>
      </c>
      <c r="K52" s="356"/>
      <c r="N52" t="s">
        <v>848</v>
      </c>
    </row>
    <row r="53" spans="1:14" x14ac:dyDescent="0.25">
      <c r="A53" s="359" t="s">
        <v>640</v>
      </c>
      <c r="B53">
        <v>3543</v>
      </c>
      <c r="C53" t="s">
        <v>849</v>
      </c>
      <c r="D53" s="358">
        <v>0</v>
      </c>
      <c r="E53" s="355">
        <v>0</v>
      </c>
      <c r="F53" s="358">
        <v>0</v>
      </c>
      <c r="G53" s="358">
        <v>0</v>
      </c>
      <c r="H53" s="358">
        <v>0</v>
      </c>
      <c r="I53" s="358"/>
      <c r="J53" s="358">
        <v>0</v>
      </c>
      <c r="K53" s="356"/>
      <c r="N53" t="s">
        <v>849</v>
      </c>
    </row>
    <row r="54" spans="1:14" x14ac:dyDescent="0.25">
      <c r="A54" s="359" t="s">
        <v>641</v>
      </c>
      <c r="B54">
        <v>3158</v>
      </c>
      <c r="C54" t="s">
        <v>850</v>
      </c>
      <c r="D54" s="358">
        <v>0</v>
      </c>
      <c r="E54" s="355">
        <v>0</v>
      </c>
      <c r="F54" s="358">
        <v>0</v>
      </c>
      <c r="G54" s="358">
        <v>0</v>
      </c>
      <c r="H54" s="358">
        <v>0</v>
      </c>
      <c r="I54" s="358"/>
      <c r="J54" s="358">
        <v>0</v>
      </c>
      <c r="K54" s="356"/>
      <c r="N54" t="s">
        <v>850</v>
      </c>
    </row>
    <row r="55" spans="1:14" x14ac:dyDescent="0.25">
      <c r="A55" s="359" t="s">
        <v>642</v>
      </c>
      <c r="B55">
        <v>3528</v>
      </c>
      <c r="C55" t="s">
        <v>851</v>
      </c>
      <c r="D55" s="358">
        <v>0</v>
      </c>
      <c r="E55" s="355">
        <v>0</v>
      </c>
      <c r="F55" s="358">
        <v>0</v>
      </c>
      <c r="G55" s="358">
        <v>0</v>
      </c>
      <c r="H55" s="358">
        <v>0</v>
      </c>
      <c r="I55" s="358"/>
      <c r="J55" s="358">
        <v>0</v>
      </c>
      <c r="K55" s="356"/>
      <c r="N55" t="s">
        <v>851</v>
      </c>
    </row>
    <row r="56" spans="1:14" x14ac:dyDescent="0.25">
      <c r="A56" s="359" t="s">
        <v>643</v>
      </c>
      <c r="B56">
        <v>3546</v>
      </c>
      <c r="C56" t="s">
        <v>852</v>
      </c>
      <c r="D56" s="358">
        <v>0</v>
      </c>
      <c r="E56" s="355">
        <v>0</v>
      </c>
      <c r="F56" s="358">
        <v>0</v>
      </c>
      <c r="G56" s="358">
        <v>0</v>
      </c>
      <c r="H56" s="358">
        <v>0</v>
      </c>
      <c r="I56" s="358"/>
      <c r="J56" s="358">
        <v>0</v>
      </c>
      <c r="K56" s="356"/>
      <c r="N56" t="s">
        <v>852</v>
      </c>
    </row>
    <row r="57" spans="1:14" x14ac:dyDescent="0.25">
      <c r="A57" s="359" t="s">
        <v>644</v>
      </c>
      <c r="B57">
        <v>3530</v>
      </c>
      <c r="C57" t="s">
        <v>853</v>
      </c>
      <c r="D57" s="358">
        <v>0</v>
      </c>
      <c r="E57" s="355">
        <v>0</v>
      </c>
      <c r="F57" s="358">
        <v>0</v>
      </c>
      <c r="G57" s="358">
        <v>0</v>
      </c>
      <c r="H57" s="358">
        <v>0</v>
      </c>
      <c r="I57" s="358"/>
      <c r="J57" s="358">
        <v>0</v>
      </c>
      <c r="K57" s="356"/>
      <c r="N57" t="s">
        <v>853</v>
      </c>
    </row>
    <row r="58" spans="1:14" x14ac:dyDescent="0.25">
      <c r="A58" s="359" t="s">
        <v>645</v>
      </c>
      <c r="B58">
        <v>2007</v>
      </c>
      <c r="C58" t="s">
        <v>854</v>
      </c>
      <c r="D58" s="358">
        <v>0</v>
      </c>
      <c r="E58" s="355">
        <v>0</v>
      </c>
      <c r="F58" s="358">
        <v>0</v>
      </c>
      <c r="G58" s="358">
        <v>0</v>
      </c>
      <c r="H58" s="358">
        <v>0</v>
      </c>
      <c r="I58" s="358"/>
      <c r="J58" s="358">
        <v>0</v>
      </c>
      <c r="K58" s="356"/>
      <c r="N58" t="s">
        <v>854</v>
      </c>
    </row>
    <row r="59" spans="1:14" x14ac:dyDescent="0.25">
      <c r="A59" s="359" t="s">
        <v>855</v>
      </c>
      <c r="B59">
        <v>4000</v>
      </c>
      <c r="C59" t="s">
        <v>646</v>
      </c>
      <c r="D59" s="358">
        <v>0</v>
      </c>
      <c r="E59" s="355">
        <v>0</v>
      </c>
      <c r="F59" s="358">
        <v>0</v>
      </c>
      <c r="G59" s="358">
        <v>0</v>
      </c>
      <c r="H59" s="358">
        <v>0</v>
      </c>
      <c r="I59" s="358"/>
      <c r="J59" s="358">
        <v>0</v>
      </c>
      <c r="K59" s="356"/>
      <c r="N59" t="s">
        <v>646</v>
      </c>
    </row>
    <row r="60" spans="1:14" ht="15" thickBot="1" x14ac:dyDescent="0.4">
      <c r="A60" s="342" t="s">
        <v>856</v>
      </c>
      <c r="B60" s="343" t="s">
        <v>60</v>
      </c>
      <c r="C60" s="343"/>
      <c r="D60" s="365">
        <v>189682.59631578947</v>
      </c>
      <c r="E60" s="362">
        <v>0</v>
      </c>
      <c r="F60" s="365">
        <v>403571.3838947367</v>
      </c>
      <c r="G60" s="365">
        <v>0</v>
      </c>
      <c r="H60" s="365">
        <v>150941.86394736846</v>
      </c>
      <c r="I60" s="365"/>
      <c r="J60" s="365">
        <v>744195.84415789461</v>
      </c>
      <c r="K60" s="363"/>
      <c r="L60" s="343"/>
      <c r="M60" s="374"/>
      <c r="N60">
        <v>0</v>
      </c>
    </row>
    <row r="61" spans="1:14" ht="13" thickTop="1" x14ac:dyDescent="0.25">
      <c r="A61" s="359" t="s">
        <v>328</v>
      </c>
      <c r="B61">
        <v>206189</v>
      </c>
      <c r="C61" t="s">
        <v>857</v>
      </c>
      <c r="D61" s="358">
        <v>1755</v>
      </c>
      <c r="E61" s="355">
        <v>0</v>
      </c>
      <c r="F61" s="358">
        <v>3570</v>
      </c>
      <c r="G61" s="358">
        <v>0</v>
      </c>
      <c r="H61" s="358">
        <v>825</v>
      </c>
      <c r="I61" s="358"/>
      <c r="J61" s="358">
        <v>6150</v>
      </c>
      <c r="K61" s="356"/>
      <c r="N61" t="s">
        <v>857</v>
      </c>
    </row>
    <row r="62" spans="1:14" x14ac:dyDescent="0.25">
      <c r="A62" s="359" t="s">
        <v>329</v>
      </c>
      <c r="B62" t="s">
        <v>649</v>
      </c>
      <c r="C62" t="s">
        <v>858</v>
      </c>
      <c r="D62" s="358">
        <v>195</v>
      </c>
      <c r="E62" s="355">
        <v>0</v>
      </c>
      <c r="F62" s="358">
        <v>0</v>
      </c>
      <c r="G62" s="358">
        <v>0</v>
      </c>
      <c r="H62" s="358">
        <v>1155</v>
      </c>
      <c r="I62" s="358"/>
      <c r="J62" s="358">
        <v>1350</v>
      </c>
      <c r="K62" s="356"/>
      <c r="N62" t="s">
        <v>858</v>
      </c>
    </row>
    <row r="63" spans="1:14" x14ac:dyDescent="0.25">
      <c r="A63" s="359" t="s">
        <v>165</v>
      </c>
      <c r="B63" t="s">
        <v>332</v>
      </c>
      <c r="C63" t="s">
        <v>859</v>
      </c>
      <c r="D63" s="358">
        <v>195</v>
      </c>
      <c r="E63" s="355">
        <v>0</v>
      </c>
      <c r="F63" s="358">
        <v>420</v>
      </c>
      <c r="G63" s="358">
        <v>0</v>
      </c>
      <c r="H63" s="358">
        <v>495</v>
      </c>
      <c r="I63" s="358"/>
      <c r="J63" s="358">
        <v>1110</v>
      </c>
      <c r="K63" s="356"/>
      <c r="N63" t="s">
        <v>859</v>
      </c>
    </row>
    <row r="64" spans="1:14" x14ac:dyDescent="0.25">
      <c r="A64" s="359" t="s">
        <v>334</v>
      </c>
      <c r="B64" t="s">
        <v>333</v>
      </c>
      <c r="C64" t="s">
        <v>860</v>
      </c>
      <c r="D64" s="358">
        <v>3313.6452631578941</v>
      </c>
      <c r="E64" s="355">
        <v>0</v>
      </c>
      <c r="F64" s="358">
        <v>11900</v>
      </c>
      <c r="G64" s="358">
        <v>0</v>
      </c>
      <c r="H64" s="358">
        <v>3298.3760526315782</v>
      </c>
      <c r="I64" s="358"/>
      <c r="J64" s="358">
        <v>18512.021315789472</v>
      </c>
      <c r="K64" s="356"/>
      <c r="N64" t="s">
        <v>860</v>
      </c>
    </row>
    <row r="65" spans="1:14" x14ac:dyDescent="0.25">
      <c r="A65" s="359" t="s">
        <v>335</v>
      </c>
      <c r="B65">
        <v>206124</v>
      </c>
      <c r="C65" t="s">
        <v>862</v>
      </c>
      <c r="D65" s="358">
        <v>195</v>
      </c>
      <c r="E65" s="355">
        <v>0</v>
      </c>
      <c r="F65" s="358">
        <v>420</v>
      </c>
      <c r="G65" s="358">
        <v>0</v>
      </c>
      <c r="H65" s="358">
        <v>165</v>
      </c>
      <c r="I65" s="358"/>
      <c r="J65" s="358">
        <v>780</v>
      </c>
      <c r="K65" s="356"/>
      <c r="N65" t="s">
        <v>862</v>
      </c>
    </row>
    <row r="66" spans="1:14" x14ac:dyDescent="0.25">
      <c r="A66" s="359" t="s">
        <v>861</v>
      </c>
      <c r="B66" t="s">
        <v>1016</v>
      </c>
      <c r="C66" t="s">
        <v>1016</v>
      </c>
      <c r="D66" s="358">
        <v>0</v>
      </c>
      <c r="E66" s="355">
        <v>0</v>
      </c>
      <c r="F66" s="358">
        <v>0</v>
      </c>
      <c r="G66" s="358">
        <v>0</v>
      </c>
      <c r="H66" s="358">
        <v>0</v>
      </c>
      <c r="I66" s="358"/>
      <c r="J66" s="358">
        <v>0</v>
      </c>
      <c r="K66" s="356"/>
      <c r="N66" t="s">
        <v>1016</v>
      </c>
    </row>
    <row r="67" spans="1:14" x14ac:dyDescent="0.25">
      <c r="A67" s="359" t="s">
        <v>338</v>
      </c>
      <c r="B67">
        <v>206126</v>
      </c>
      <c r="C67" t="s">
        <v>863</v>
      </c>
      <c r="D67" s="358">
        <v>0</v>
      </c>
      <c r="E67" s="355">
        <v>0</v>
      </c>
      <c r="F67" s="358">
        <v>420</v>
      </c>
      <c r="G67" s="358">
        <v>0</v>
      </c>
      <c r="H67" s="358">
        <v>0</v>
      </c>
      <c r="I67" s="358"/>
      <c r="J67" s="358">
        <v>420</v>
      </c>
      <c r="K67" s="356"/>
      <c r="N67" t="s">
        <v>863</v>
      </c>
    </row>
    <row r="68" spans="1:14" x14ac:dyDescent="0.25">
      <c r="A68" s="359" t="s">
        <v>339</v>
      </c>
      <c r="B68">
        <v>206111</v>
      </c>
      <c r="C68" t="s">
        <v>864</v>
      </c>
      <c r="D68" s="358">
        <v>6825</v>
      </c>
      <c r="E68" s="355">
        <v>0</v>
      </c>
      <c r="F68" s="358">
        <v>16895.789473684203</v>
      </c>
      <c r="G68" s="358">
        <v>0</v>
      </c>
      <c r="H68" s="358">
        <v>5720</v>
      </c>
      <c r="I68" s="358"/>
      <c r="J68" s="358">
        <v>29440.789473684203</v>
      </c>
      <c r="K68" s="356"/>
      <c r="N68" t="s">
        <v>864</v>
      </c>
    </row>
    <row r="69" spans="1:14" x14ac:dyDescent="0.25">
      <c r="A69" s="359" t="s">
        <v>865</v>
      </c>
      <c r="B69" t="s">
        <v>866</v>
      </c>
      <c r="C69" t="s">
        <v>866</v>
      </c>
      <c r="D69" s="358">
        <v>5525</v>
      </c>
      <c r="E69" s="355">
        <v>0</v>
      </c>
      <c r="F69" s="358">
        <v>10058.336842105262</v>
      </c>
      <c r="G69" s="358">
        <v>0</v>
      </c>
      <c r="H69" s="358">
        <v>3960</v>
      </c>
      <c r="I69" s="358"/>
      <c r="J69" s="358">
        <v>19543.336842105262</v>
      </c>
      <c r="K69" s="356"/>
      <c r="N69" t="s">
        <v>866</v>
      </c>
    </row>
    <row r="70" spans="1:14" x14ac:dyDescent="0.25">
      <c r="A70" s="359" t="s">
        <v>340</v>
      </c>
      <c r="B70">
        <v>206091</v>
      </c>
      <c r="C70" t="s">
        <v>867</v>
      </c>
      <c r="D70" s="358">
        <v>2144.5757894736848</v>
      </c>
      <c r="E70" s="355">
        <v>0</v>
      </c>
      <c r="F70" s="358">
        <v>5458.297894736842</v>
      </c>
      <c r="G70" s="358">
        <v>0</v>
      </c>
      <c r="H70" s="358">
        <v>1814.7915789473689</v>
      </c>
      <c r="I70" s="358"/>
      <c r="J70" s="358">
        <v>9417.6652631578945</v>
      </c>
      <c r="K70" s="356"/>
      <c r="N70" t="s">
        <v>867</v>
      </c>
    </row>
    <row r="71" spans="1:14" x14ac:dyDescent="0.25">
      <c r="A71" s="359" t="s">
        <v>1017</v>
      </c>
      <c r="B71" t="s">
        <v>835</v>
      </c>
      <c r="C71" t="s">
        <v>835</v>
      </c>
      <c r="D71" s="358">
        <v>0</v>
      </c>
      <c r="E71" s="355">
        <v>0</v>
      </c>
      <c r="F71" s="358">
        <v>0</v>
      </c>
      <c r="G71" s="358">
        <v>0</v>
      </c>
      <c r="H71" s="358">
        <v>0</v>
      </c>
      <c r="I71" s="358"/>
      <c r="J71" s="358">
        <v>0</v>
      </c>
      <c r="K71" s="356"/>
      <c r="N71" t="s">
        <v>835</v>
      </c>
    </row>
    <row r="72" spans="1:14" x14ac:dyDescent="0.25">
      <c r="A72" s="359" t="s">
        <v>341</v>
      </c>
      <c r="B72">
        <v>206128</v>
      </c>
      <c r="C72" t="s">
        <v>868</v>
      </c>
      <c r="D72" s="358">
        <v>0</v>
      </c>
      <c r="E72" s="355">
        <v>0</v>
      </c>
      <c r="F72" s="358">
        <v>0</v>
      </c>
      <c r="G72" s="358">
        <v>0</v>
      </c>
      <c r="H72" s="358">
        <v>0</v>
      </c>
      <c r="I72" s="358"/>
      <c r="J72" s="358">
        <v>0</v>
      </c>
      <c r="K72" s="356"/>
      <c r="N72" t="s">
        <v>868</v>
      </c>
    </row>
    <row r="73" spans="1:14" x14ac:dyDescent="0.25">
      <c r="A73" s="359" t="s">
        <v>1357</v>
      </c>
      <c r="B73" t="s">
        <v>1358</v>
      </c>
      <c r="C73" t="s">
        <v>1358</v>
      </c>
      <c r="D73" s="358">
        <v>1170</v>
      </c>
      <c r="E73" s="355">
        <v>0</v>
      </c>
      <c r="F73" s="358">
        <v>1260</v>
      </c>
      <c r="G73" s="358">
        <v>0</v>
      </c>
      <c r="H73" s="358">
        <v>165</v>
      </c>
      <c r="I73" s="358"/>
      <c r="J73" s="358">
        <v>2595</v>
      </c>
      <c r="K73" s="356"/>
      <c r="N73" t="s">
        <v>869</v>
      </c>
    </row>
    <row r="74" spans="1:14" x14ac:dyDescent="0.25">
      <c r="A74" s="359" t="s">
        <v>342</v>
      </c>
      <c r="B74">
        <v>205999</v>
      </c>
      <c r="C74" t="s">
        <v>869</v>
      </c>
      <c r="D74" s="358">
        <v>390</v>
      </c>
      <c r="E74" s="355">
        <v>0</v>
      </c>
      <c r="F74" s="358">
        <v>840</v>
      </c>
      <c r="G74" s="358">
        <v>0</v>
      </c>
      <c r="H74" s="358">
        <v>165</v>
      </c>
      <c r="I74" s="358"/>
      <c r="J74" s="358">
        <v>1395</v>
      </c>
      <c r="K74" s="356"/>
      <c r="N74" t="s">
        <v>870</v>
      </c>
    </row>
    <row r="75" spans="1:14" x14ac:dyDescent="0.25">
      <c r="A75" s="359" t="s">
        <v>344</v>
      </c>
      <c r="B75" t="s">
        <v>343</v>
      </c>
      <c r="C75" t="s">
        <v>870</v>
      </c>
      <c r="D75" s="358">
        <v>585</v>
      </c>
      <c r="E75" s="355">
        <v>0</v>
      </c>
      <c r="F75" s="358">
        <v>756</v>
      </c>
      <c r="G75" s="358">
        <v>0</v>
      </c>
      <c r="H75" s="358">
        <v>330</v>
      </c>
      <c r="I75" s="358"/>
      <c r="J75" s="358">
        <v>1671</v>
      </c>
      <c r="K75" s="356"/>
      <c r="N75" t="s">
        <v>871</v>
      </c>
    </row>
    <row r="76" spans="1:14" x14ac:dyDescent="0.25">
      <c r="A76" s="359" t="s">
        <v>346</v>
      </c>
      <c r="B76" t="s">
        <v>345</v>
      </c>
      <c r="C76" t="s">
        <v>871</v>
      </c>
      <c r="D76" s="358">
        <v>1950</v>
      </c>
      <c r="E76" s="355">
        <v>0</v>
      </c>
      <c r="F76" s="358">
        <v>3360</v>
      </c>
      <c r="G76" s="358">
        <v>0</v>
      </c>
      <c r="H76" s="358">
        <v>1155</v>
      </c>
      <c r="I76" s="358"/>
      <c r="J76" s="358">
        <v>6465</v>
      </c>
      <c r="K76" s="356"/>
      <c r="N76" t="s">
        <v>872</v>
      </c>
    </row>
    <row r="77" spans="1:14" x14ac:dyDescent="0.25">
      <c r="A77" s="359" t="s">
        <v>347</v>
      </c>
      <c r="B77">
        <v>205921</v>
      </c>
      <c r="C77" t="s">
        <v>872</v>
      </c>
      <c r="D77" s="358">
        <v>195</v>
      </c>
      <c r="E77" s="355">
        <v>0</v>
      </c>
      <c r="F77" s="358">
        <v>336</v>
      </c>
      <c r="G77" s="358">
        <v>0</v>
      </c>
      <c r="H77" s="358">
        <v>330</v>
      </c>
      <c r="I77" s="358"/>
      <c r="J77" s="358">
        <v>861</v>
      </c>
      <c r="K77" s="356"/>
      <c r="N77" t="s">
        <v>873</v>
      </c>
    </row>
    <row r="78" spans="1:14" x14ac:dyDescent="0.25">
      <c r="A78" s="359" t="s">
        <v>348</v>
      </c>
      <c r="B78">
        <v>206011</v>
      </c>
      <c r="C78" t="s">
        <v>873</v>
      </c>
      <c r="D78" s="358">
        <v>195</v>
      </c>
      <c r="E78" s="355">
        <v>0</v>
      </c>
      <c r="F78" s="358">
        <v>0</v>
      </c>
      <c r="G78" s="358">
        <v>0</v>
      </c>
      <c r="H78" s="358">
        <v>0</v>
      </c>
      <c r="I78" s="358"/>
      <c r="J78" s="358">
        <v>195</v>
      </c>
      <c r="K78" s="356"/>
      <c r="N78" t="s">
        <v>874</v>
      </c>
    </row>
    <row r="79" spans="1:14" x14ac:dyDescent="0.25">
      <c r="A79" s="359" t="s">
        <v>349</v>
      </c>
      <c r="B79" t="s">
        <v>874</v>
      </c>
      <c r="C79" t="s">
        <v>874</v>
      </c>
      <c r="D79" s="358">
        <v>195</v>
      </c>
      <c r="E79" s="355">
        <v>0</v>
      </c>
      <c r="F79" s="358">
        <v>840</v>
      </c>
      <c r="G79" s="358">
        <v>0</v>
      </c>
      <c r="H79" s="358">
        <v>0</v>
      </c>
      <c r="I79" s="358"/>
      <c r="J79" s="358">
        <v>1035</v>
      </c>
      <c r="K79" s="356"/>
      <c r="N79" t="s">
        <v>875</v>
      </c>
    </row>
    <row r="80" spans="1:14" x14ac:dyDescent="0.25">
      <c r="A80" s="359" t="s">
        <v>353</v>
      </c>
      <c r="B80" t="s">
        <v>352</v>
      </c>
      <c r="C80" t="s">
        <v>875</v>
      </c>
      <c r="D80" s="358">
        <v>195</v>
      </c>
      <c r="E80" s="355">
        <v>0</v>
      </c>
      <c r="F80" s="358">
        <v>420</v>
      </c>
      <c r="G80" s="358">
        <v>0</v>
      </c>
      <c r="H80" s="358">
        <v>0</v>
      </c>
      <c r="I80" s="358"/>
      <c r="J80" s="358">
        <v>615</v>
      </c>
      <c r="K80" s="356"/>
      <c r="N80" t="s">
        <v>876</v>
      </c>
    </row>
    <row r="81" spans="1:14" x14ac:dyDescent="0.25">
      <c r="A81" s="359" t="s">
        <v>355</v>
      </c>
      <c r="B81" t="s">
        <v>354</v>
      </c>
      <c r="C81" t="s">
        <v>876</v>
      </c>
      <c r="D81" s="358">
        <v>195</v>
      </c>
      <c r="E81" s="355">
        <v>0</v>
      </c>
      <c r="F81" s="358">
        <v>420</v>
      </c>
      <c r="G81" s="358">
        <v>0</v>
      </c>
      <c r="H81" s="358">
        <v>165</v>
      </c>
      <c r="I81" s="358"/>
      <c r="J81" s="358">
        <v>780</v>
      </c>
      <c r="K81" s="356"/>
      <c r="N81" t="s">
        <v>877</v>
      </c>
    </row>
    <row r="82" spans="1:14" x14ac:dyDescent="0.25">
      <c r="A82" s="359" t="s">
        <v>357</v>
      </c>
      <c r="B82" t="s">
        <v>356</v>
      </c>
      <c r="C82" t="s">
        <v>877</v>
      </c>
      <c r="D82" s="358">
        <v>0</v>
      </c>
      <c r="E82" s="355">
        <v>0</v>
      </c>
      <c r="F82" s="358">
        <v>0</v>
      </c>
      <c r="G82" s="358">
        <v>0</v>
      </c>
      <c r="H82" s="358">
        <v>330</v>
      </c>
      <c r="I82" s="358"/>
      <c r="J82" s="358">
        <v>330</v>
      </c>
      <c r="K82" s="356"/>
      <c r="N82" t="s">
        <v>878</v>
      </c>
    </row>
    <row r="83" spans="1:14" x14ac:dyDescent="0.25">
      <c r="A83" s="359" t="s">
        <v>358</v>
      </c>
      <c r="B83">
        <v>2549324</v>
      </c>
      <c r="C83" t="s">
        <v>878</v>
      </c>
      <c r="D83" s="358">
        <v>2145</v>
      </c>
      <c r="E83" s="355">
        <v>0</v>
      </c>
      <c r="F83" s="358">
        <v>5460</v>
      </c>
      <c r="G83" s="358">
        <v>0</v>
      </c>
      <c r="H83" s="358">
        <v>1815</v>
      </c>
      <c r="I83" s="358"/>
      <c r="J83" s="358">
        <v>9420</v>
      </c>
      <c r="K83" s="356"/>
      <c r="N83" t="s">
        <v>880</v>
      </c>
    </row>
    <row r="84" spans="1:14" x14ac:dyDescent="0.25">
      <c r="A84" s="359" t="s">
        <v>879</v>
      </c>
      <c r="B84" t="s">
        <v>880</v>
      </c>
      <c r="C84" t="s">
        <v>880</v>
      </c>
      <c r="D84" s="358">
        <v>195</v>
      </c>
      <c r="E84" s="355">
        <v>0</v>
      </c>
      <c r="F84" s="358">
        <v>1732.5</v>
      </c>
      <c r="G84" s="358">
        <v>0</v>
      </c>
      <c r="H84" s="358">
        <v>165</v>
      </c>
      <c r="I84" s="358"/>
      <c r="J84" s="358">
        <v>2092.5</v>
      </c>
      <c r="K84" s="356"/>
      <c r="N84" t="s">
        <v>881</v>
      </c>
    </row>
    <row r="85" spans="1:14" x14ac:dyDescent="0.25">
      <c r="A85" s="359" t="s">
        <v>361</v>
      </c>
      <c r="B85">
        <v>2519477</v>
      </c>
      <c r="C85" t="s">
        <v>881</v>
      </c>
      <c r="D85" s="358">
        <v>390</v>
      </c>
      <c r="E85" s="355">
        <v>0</v>
      </c>
      <c r="F85" s="358">
        <v>294</v>
      </c>
      <c r="G85" s="358">
        <v>0</v>
      </c>
      <c r="H85" s="358">
        <v>330</v>
      </c>
      <c r="I85" s="358"/>
      <c r="J85" s="358">
        <v>1014</v>
      </c>
      <c r="K85" s="356"/>
      <c r="N85" t="s">
        <v>1050</v>
      </c>
    </row>
    <row r="86" spans="1:14" x14ac:dyDescent="0.25">
      <c r="A86" s="359" t="s">
        <v>1049</v>
      </c>
      <c r="B86" t="s">
        <v>1362</v>
      </c>
      <c r="C86" t="s">
        <v>1362</v>
      </c>
      <c r="D86" s="358">
        <v>195</v>
      </c>
      <c r="E86" s="355">
        <v>0</v>
      </c>
      <c r="F86" s="358">
        <v>420</v>
      </c>
      <c r="G86" s="358">
        <v>0</v>
      </c>
      <c r="H86" s="358">
        <v>165</v>
      </c>
      <c r="I86" s="358"/>
      <c r="J86" s="358">
        <v>780</v>
      </c>
      <c r="K86" s="356"/>
      <c r="N86" t="s">
        <v>1019</v>
      </c>
    </row>
    <row r="87" spans="1:14" x14ac:dyDescent="0.25">
      <c r="A87" s="359" t="s">
        <v>1036</v>
      </c>
      <c r="B87" t="s">
        <v>1019</v>
      </c>
      <c r="C87" t="s">
        <v>1019</v>
      </c>
      <c r="D87" s="358">
        <v>0</v>
      </c>
      <c r="E87" s="355">
        <v>0</v>
      </c>
      <c r="F87" s="358">
        <v>0</v>
      </c>
      <c r="G87" s="358">
        <v>0</v>
      </c>
      <c r="H87" s="358">
        <v>0</v>
      </c>
      <c r="I87" s="358"/>
      <c r="J87" s="358">
        <v>0</v>
      </c>
      <c r="K87" s="356"/>
      <c r="N87" t="s">
        <v>882</v>
      </c>
    </row>
    <row r="88" spans="1:14" x14ac:dyDescent="0.25">
      <c r="A88" s="359" t="s">
        <v>365</v>
      </c>
      <c r="B88" t="s">
        <v>364</v>
      </c>
      <c r="C88" t="s">
        <v>882</v>
      </c>
      <c r="D88" s="358">
        <v>195</v>
      </c>
      <c r="E88" s="355">
        <v>0</v>
      </c>
      <c r="F88" s="358">
        <v>0</v>
      </c>
      <c r="G88" s="358">
        <v>0</v>
      </c>
      <c r="H88" s="358">
        <v>165</v>
      </c>
      <c r="I88" s="358"/>
      <c r="J88" s="358">
        <v>360</v>
      </c>
      <c r="K88" s="356"/>
      <c r="N88" t="s">
        <v>884</v>
      </c>
    </row>
    <row r="89" spans="1:14" x14ac:dyDescent="0.25">
      <c r="A89" s="359" t="s">
        <v>1368</v>
      </c>
      <c r="B89" t="s">
        <v>884</v>
      </c>
      <c r="C89" t="s">
        <v>884</v>
      </c>
      <c r="D89" s="358">
        <v>195</v>
      </c>
      <c r="E89" s="355">
        <v>0</v>
      </c>
      <c r="F89" s="358">
        <v>1680</v>
      </c>
      <c r="G89" s="358">
        <v>0</v>
      </c>
      <c r="H89" s="358">
        <v>0</v>
      </c>
      <c r="I89" s="358"/>
      <c r="J89" s="358">
        <v>1875</v>
      </c>
      <c r="K89" s="356"/>
      <c r="N89" t="s">
        <v>885</v>
      </c>
    </row>
    <row r="90" spans="1:14" x14ac:dyDescent="0.25">
      <c r="A90" s="359" t="s">
        <v>366</v>
      </c>
      <c r="B90">
        <v>205852</v>
      </c>
      <c r="C90" t="s">
        <v>885</v>
      </c>
      <c r="D90" s="358">
        <v>585</v>
      </c>
      <c r="E90" s="355">
        <v>0</v>
      </c>
      <c r="F90" s="358">
        <v>1232</v>
      </c>
      <c r="G90" s="358">
        <v>0</v>
      </c>
      <c r="H90" s="358">
        <v>330</v>
      </c>
      <c r="I90" s="358"/>
      <c r="J90" s="358">
        <v>2147</v>
      </c>
      <c r="K90" s="356"/>
      <c r="N90" t="s">
        <v>886</v>
      </c>
    </row>
    <row r="91" spans="1:14" x14ac:dyDescent="0.25">
      <c r="A91" s="359" t="s">
        <v>368</v>
      </c>
      <c r="B91">
        <v>205922</v>
      </c>
      <c r="C91" t="s">
        <v>886</v>
      </c>
      <c r="D91" s="358">
        <v>780</v>
      </c>
      <c r="E91" s="355">
        <v>0</v>
      </c>
      <c r="F91" s="358">
        <v>2100</v>
      </c>
      <c r="G91" s="358">
        <v>0</v>
      </c>
      <c r="H91" s="358">
        <v>495</v>
      </c>
      <c r="I91" s="358"/>
      <c r="J91" s="358">
        <v>3375</v>
      </c>
      <c r="K91" s="356"/>
      <c r="N91" t="s">
        <v>887</v>
      </c>
    </row>
    <row r="92" spans="1:14" x14ac:dyDescent="0.25">
      <c r="A92" s="359" t="s">
        <v>1363</v>
      </c>
      <c r="B92" t="s">
        <v>1364</v>
      </c>
      <c r="C92" t="s">
        <v>1364</v>
      </c>
      <c r="D92" s="358">
        <v>0</v>
      </c>
      <c r="E92" s="355">
        <v>0</v>
      </c>
      <c r="F92" s="358">
        <v>812</v>
      </c>
      <c r="G92" s="358">
        <v>0</v>
      </c>
      <c r="H92" s="358">
        <v>0</v>
      </c>
      <c r="I92" s="358"/>
      <c r="J92" s="358">
        <v>812</v>
      </c>
      <c r="K92" s="356"/>
      <c r="N92" t="s">
        <v>888</v>
      </c>
    </row>
    <row r="93" spans="1:14" x14ac:dyDescent="0.25">
      <c r="A93" s="359" t="s">
        <v>370</v>
      </c>
      <c r="B93" t="s">
        <v>369</v>
      </c>
      <c r="C93" t="s">
        <v>887</v>
      </c>
      <c r="D93" s="358">
        <v>390</v>
      </c>
      <c r="E93" s="355">
        <v>0</v>
      </c>
      <c r="F93" s="358">
        <v>1260</v>
      </c>
      <c r="G93" s="358">
        <v>0</v>
      </c>
      <c r="H93" s="358">
        <v>495</v>
      </c>
      <c r="I93" s="358"/>
      <c r="J93" s="358">
        <v>2145</v>
      </c>
      <c r="K93" s="356"/>
      <c r="N93" t="s">
        <v>890</v>
      </c>
    </row>
    <row r="94" spans="1:14" x14ac:dyDescent="0.25">
      <c r="A94" s="359" t="s">
        <v>372</v>
      </c>
      <c r="B94" t="s">
        <v>371</v>
      </c>
      <c r="C94" t="s">
        <v>888</v>
      </c>
      <c r="D94" s="358">
        <v>585</v>
      </c>
      <c r="E94" s="355">
        <v>0</v>
      </c>
      <c r="F94" s="358">
        <v>630</v>
      </c>
      <c r="G94" s="358">
        <v>0</v>
      </c>
      <c r="H94" s="358">
        <v>495</v>
      </c>
      <c r="I94" s="358"/>
      <c r="J94" s="358">
        <v>1710</v>
      </c>
      <c r="K94" s="356"/>
      <c r="N94" t="s">
        <v>891</v>
      </c>
    </row>
    <row r="95" spans="1:14" x14ac:dyDescent="0.25">
      <c r="A95" s="359" t="s">
        <v>889</v>
      </c>
      <c r="B95" t="s">
        <v>1333</v>
      </c>
      <c r="C95" t="s">
        <v>1333</v>
      </c>
      <c r="D95" s="358">
        <v>507</v>
      </c>
      <c r="E95" s="355">
        <v>0</v>
      </c>
      <c r="F95" s="358">
        <v>630</v>
      </c>
      <c r="G95" s="358">
        <v>0</v>
      </c>
      <c r="H95" s="358">
        <v>594</v>
      </c>
      <c r="I95" s="358"/>
      <c r="J95" s="358">
        <v>1731</v>
      </c>
      <c r="K95" s="356"/>
      <c r="N95" t="s">
        <v>892</v>
      </c>
    </row>
    <row r="96" spans="1:14" x14ac:dyDescent="0.25">
      <c r="A96" s="359" t="s">
        <v>373</v>
      </c>
      <c r="B96">
        <v>205947</v>
      </c>
      <c r="C96" t="s">
        <v>891</v>
      </c>
      <c r="D96" s="358">
        <v>0</v>
      </c>
      <c r="E96" s="355">
        <v>0</v>
      </c>
      <c r="F96" s="358">
        <v>0</v>
      </c>
      <c r="G96" s="358">
        <v>0</v>
      </c>
      <c r="H96" s="358">
        <v>0</v>
      </c>
      <c r="I96" s="358"/>
      <c r="J96" s="358">
        <v>0</v>
      </c>
      <c r="K96" s="356"/>
      <c r="N96" t="s">
        <v>893</v>
      </c>
    </row>
    <row r="97" spans="1:14" x14ac:dyDescent="0.25">
      <c r="A97" s="359" t="s">
        <v>376</v>
      </c>
      <c r="B97" t="s">
        <v>375</v>
      </c>
      <c r="C97" t="s">
        <v>892</v>
      </c>
      <c r="D97" s="358">
        <v>195</v>
      </c>
      <c r="E97" s="355">
        <v>0</v>
      </c>
      <c r="F97" s="358">
        <v>0</v>
      </c>
      <c r="G97" s="358">
        <v>0</v>
      </c>
      <c r="H97" s="358">
        <v>165</v>
      </c>
      <c r="I97" s="358"/>
      <c r="J97" s="358">
        <v>360</v>
      </c>
      <c r="K97" s="356"/>
      <c r="N97" t="s">
        <v>1039</v>
      </c>
    </row>
    <row r="98" spans="1:14" x14ac:dyDescent="0.25">
      <c r="A98" s="359" t="s">
        <v>374</v>
      </c>
      <c r="B98" t="s">
        <v>893</v>
      </c>
      <c r="C98" t="s">
        <v>893</v>
      </c>
      <c r="D98" s="358">
        <v>0</v>
      </c>
      <c r="E98" s="355">
        <v>0</v>
      </c>
      <c r="F98" s="358">
        <v>0</v>
      </c>
      <c r="G98" s="358">
        <v>0</v>
      </c>
      <c r="H98" s="358">
        <v>0</v>
      </c>
      <c r="I98" s="358"/>
      <c r="J98" s="358">
        <v>0</v>
      </c>
      <c r="K98" s="356"/>
      <c r="N98" t="s">
        <v>894</v>
      </c>
    </row>
    <row r="99" spans="1:14" x14ac:dyDescent="0.25">
      <c r="A99" s="359" t="s">
        <v>1051</v>
      </c>
      <c r="B99" t="s">
        <v>1039</v>
      </c>
      <c r="C99" t="s">
        <v>1039</v>
      </c>
      <c r="D99" s="358">
        <v>390</v>
      </c>
      <c r="E99" s="355">
        <v>0</v>
      </c>
      <c r="F99" s="358">
        <v>502.8947368421052</v>
      </c>
      <c r="G99" s="358">
        <v>0</v>
      </c>
      <c r="H99" s="358">
        <v>148.5</v>
      </c>
      <c r="I99" s="358"/>
      <c r="J99" s="358">
        <v>1041.3947368421052</v>
      </c>
      <c r="K99" s="356"/>
      <c r="N99" t="s">
        <v>895</v>
      </c>
    </row>
    <row r="100" spans="1:14" x14ac:dyDescent="0.25">
      <c r="A100" s="359" t="s">
        <v>1052</v>
      </c>
      <c r="B100" t="s">
        <v>379</v>
      </c>
      <c r="C100" t="s">
        <v>894</v>
      </c>
      <c r="D100" s="358">
        <v>390</v>
      </c>
      <c r="E100" s="355">
        <v>0</v>
      </c>
      <c r="F100" s="358">
        <v>420</v>
      </c>
      <c r="G100" s="358">
        <v>0</v>
      </c>
      <c r="H100" s="358">
        <v>165</v>
      </c>
      <c r="I100" s="358"/>
      <c r="J100" s="358">
        <v>975</v>
      </c>
      <c r="K100" s="356"/>
      <c r="N100" t="s">
        <v>896</v>
      </c>
    </row>
    <row r="101" spans="1:14" x14ac:dyDescent="0.25">
      <c r="A101" s="359" t="s">
        <v>383</v>
      </c>
      <c r="B101" t="s">
        <v>382</v>
      </c>
      <c r="C101" t="s">
        <v>895</v>
      </c>
      <c r="D101" s="358">
        <v>195</v>
      </c>
      <c r="E101" s="355">
        <v>0</v>
      </c>
      <c r="F101" s="358">
        <v>840</v>
      </c>
      <c r="G101" s="358">
        <v>0</v>
      </c>
      <c r="H101" s="358">
        <v>0</v>
      </c>
      <c r="I101" s="358"/>
      <c r="J101" s="358">
        <v>1035</v>
      </c>
      <c r="K101" s="356"/>
      <c r="N101" t="s">
        <v>897</v>
      </c>
    </row>
    <row r="102" spans="1:14" x14ac:dyDescent="0.25">
      <c r="A102" s="359" t="s">
        <v>385</v>
      </c>
      <c r="B102" t="s">
        <v>384</v>
      </c>
      <c r="C102" t="s">
        <v>896</v>
      </c>
      <c r="D102" s="358">
        <v>390</v>
      </c>
      <c r="E102" s="355">
        <v>0</v>
      </c>
      <c r="F102" s="358">
        <v>602</v>
      </c>
      <c r="G102" s="358">
        <v>0</v>
      </c>
      <c r="H102" s="358">
        <v>330</v>
      </c>
      <c r="I102" s="358"/>
      <c r="J102" s="358">
        <v>1322</v>
      </c>
      <c r="K102" s="356"/>
      <c r="N102" t="s">
        <v>898</v>
      </c>
    </row>
    <row r="103" spans="1:14" x14ac:dyDescent="0.25">
      <c r="A103" s="359" t="s">
        <v>387</v>
      </c>
      <c r="B103" t="s">
        <v>386</v>
      </c>
      <c r="C103" t="s">
        <v>897</v>
      </c>
      <c r="D103" s="358">
        <v>195</v>
      </c>
      <c r="E103" s="355">
        <v>0</v>
      </c>
      <c r="F103" s="358">
        <v>1540</v>
      </c>
      <c r="G103" s="358">
        <v>0</v>
      </c>
      <c r="H103" s="358">
        <v>495</v>
      </c>
      <c r="I103" s="358"/>
      <c r="J103" s="358">
        <v>2230</v>
      </c>
      <c r="K103" s="356"/>
      <c r="N103" t="s">
        <v>899</v>
      </c>
    </row>
    <row r="104" spans="1:14" x14ac:dyDescent="0.25">
      <c r="A104" s="359" t="s">
        <v>755</v>
      </c>
      <c r="B104" t="s">
        <v>898</v>
      </c>
      <c r="C104" t="s">
        <v>898</v>
      </c>
      <c r="D104" s="358">
        <v>0</v>
      </c>
      <c r="E104" s="355">
        <v>0</v>
      </c>
      <c r="F104" s="358">
        <v>0</v>
      </c>
      <c r="G104" s="358">
        <v>0</v>
      </c>
      <c r="H104" s="358">
        <v>0</v>
      </c>
      <c r="I104" s="358"/>
      <c r="J104" s="358">
        <v>0</v>
      </c>
      <c r="K104" s="356"/>
      <c r="N104" t="s">
        <v>900</v>
      </c>
    </row>
    <row r="105" spans="1:14" x14ac:dyDescent="0.25">
      <c r="A105" s="359" t="s">
        <v>754</v>
      </c>
      <c r="B105" t="s">
        <v>899</v>
      </c>
      <c r="C105" t="s">
        <v>899</v>
      </c>
      <c r="D105" s="358">
        <v>0</v>
      </c>
      <c r="E105" s="355">
        <v>0</v>
      </c>
      <c r="F105" s="358">
        <v>196</v>
      </c>
      <c r="G105" s="358">
        <v>0</v>
      </c>
      <c r="H105" s="358">
        <v>0</v>
      </c>
      <c r="I105" s="358"/>
      <c r="J105" s="358">
        <v>196</v>
      </c>
      <c r="K105" s="356"/>
      <c r="N105" t="s">
        <v>901</v>
      </c>
    </row>
    <row r="106" spans="1:14" x14ac:dyDescent="0.25">
      <c r="A106" s="359" t="s">
        <v>390</v>
      </c>
      <c r="B106">
        <v>639307</v>
      </c>
      <c r="C106" t="s">
        <v>900</v>
      </c>
      <c r="D106" s="358">
        <v>585</v>
      </c>
      <c r="E106" s="355">
        <v>0</v>
      </c>
      <c r="F106" s="358">
        <v>1463</v>
      </c>
      <c r="G106" s="358">
        <v>0</v>
      </c>
      <c r="H106" s="358">
        <v>165</v>
      </c>
      <c r="I106" s="358"/>
      <c r="J106" s="358">
        <v>2213</v>
      </c>
      <c r="K106" s="356"/>
      <c r="N106" t="s">
        <v>902</v>
      </c>
    </row>
    <row r="107" spans="1:14" x14ac:dyDescent="0.25">
      <c r="A107" s="359" t="s">
        <v>391</v>
      </c>
      <c r="B107" t="s">
        <v>901</v>
      </c>
      <c r="C107" t="s">
        <v>901</v>
      </c>
      <c r="D107" s="358">
        <v>390</v>
      </c>
      <c r="E107" s="355">
        <v>0</v>
      </c>
      <c r="F107" s="358">
        <v>840</v>
      </c>
      <c r="G107" s="358">
        <v>0</v>
      </c>
      <c r="H107" s="358">
        <v>330</v>
      </c>
      <c r="I107" s="358"/>
      <c r="J107" s="358">
        <v>1560</v>
      </c>
      <c r="K107" s="356"/>
      <c r="N107" t="s">
        <v>903</v>
      </c>
    </row>
    <row r="108" spans="1:14" x14ac:dyDescent="0.25">
      <c r="A108" s="359" t="s">
        <v>392</v>
      </c>
      <c r="B108" t="s">
        <v>902</v>
      </c>
      <c r="C108" t="s">
        <v>902</v>
      </c>
      <c r="D108" s="358">
        <v>975</v>
      </c>
      <c r="E108" s="355">
        <v>0</v>
      </c>
      <c r="F108" s="358">
        <v>2940</v>
      </c>
      <c r="G108" s="358">
        <v>0</v>
      </c>
      <c r="H108" s="358">
        <v>660</v>
      </c>
      <c r="I108" s="358"/>
      <c r="J108" s="358">
        <v>4575</v>
      </c>
      <c r="K108" s="356"/>
      <c r="N108" t="s">
        <v>905</v>
      </c>
    </row>
    <row r="109" spans="1:14" x14ac:dyDescent="0.25">
      <c r="A109" s="359" t="s">
        <v>393</v>
      </c>
      <c r="B109">
        <v>2559906</v>
      </c>
      <c r="C109" t="s">
        <v>903</v>
      </c>
      <c r="D109" s="358">
        <v>0</v>
      </c>
      <c r="E109" s="355">
        <v>0</v>
      </c>
      <c r="F109" s="358">
        <v>392</v>
      </c>
      <c r="G109" s="358">
        <v>0</v>
      </c>
      <c r="H109" s="358">
        <v>0</v>
      </c>
      <c r="I109" s="358"/>
      <c r="J109" s="358">
        <v>392</v>
      </c>
      <c r="K109" s="356"/>
      <c r="N109" t="s">
        <v>1041</v>
      </c>
    </row>
    <row r="110" spans="1:14" x14ac:dyDescent="0.25">
      <c r="A110" s="359" t="s">
        <v>904</v>
      </c>
      <c r="B110" t="s">
        <v>905</v>
      </c>
      <c r="C110" t="s">
        <v>905</v>
      </c>
      <c r="D110" s="358">
        <v>325</v>
      </c>
      <c r="E110" s="355">
        <v>0</v>
      </c>
      <c r="F110" s="358">
        <v>819</v>
      </c>
      <c r="G110" s="358">
        <v>0</v>
      </c>
      <c r="H110" s="358">
        <v>275</v>
      </c>
      <c r="I110" s="358"/>
      <c r="J110" s="358">
        <v>1419</v>
      </c>
      <c r="K110" s="356"/>
      <c r="N110" t="s">
        <v>906</v>
      </c>
    </row>
    <row r="111" spans="1:14" x14ac:dyDescent="0.25">
      <c r="A111" s="359" t="s">
        <v>1040</v>
      </c>
      <c r="B111" t="s">
        <v>1041</v>
      </c>
      <c r="C111" t="s">
        <v>1041</v>
      </c>
      <c r="D111" s="358">
        <v>195</v>
      </c>
      <c r="E111" s="355">
        <v>0</v>
      </c>
      <c r="F111" s="358">
        <v>420</v>
      </c>
      <c r="G111" s="358">
        <v>0</v>
      </c>
      <c r="H111" s="358">
        <v>165</v>
      </c>
      <c r="I111" s="358"/>
      <c r="J111" s="358">
        <v>780</v>
      </c>
      <c r="K111" s="356"/>
      <c r="N111" t="s">
        <v>907</v>
      </c>
    </row>
    <row r="112" spans="1:14" x14ac:dyDescent="0.25">
      <c r="A112" s="359" t="s">
        <v>398</v>
      </c>
      <c r="B112" t="s">
        <v>397</v>
      </c>
      <c r="C112" t="s">
        <v>906</v>
      </c>
      <c r="D112" s="358">
        <v>130</v>
      </c>
      <c r="E112" s="355">
        <v>0</v>
      </c>
      <c r="F112" s="358">
        <v>658</v>
      </c>
      <c r="G112" s="358">
        <v>0</v>
      </c>
      <c r="H112" s="358">
        <v>99</v>
      </c>
      <c r="I112" s="358"/>
      <c r="J112" s="358">
        <v>887</v>
      </c>
      <c r="K112" s="356"/>
      <c r="N112" t="s">
        <v>908</v>
      </c>
    </row>
    <row r="113" spans="1:14" x14ac:dyDescent="0.25">
      <c r="A113" s="359" t="s">
        <v>400</v>
      </c>
      <c r="B113" t="s">
        <v>399</v>
      </c>
      <c r="C113" t="s">
        <v>907</v>
      </c>
      <c r="D113" s="358">
        <v>195</v>
      </c>
      <c r="E113" s="355">
        <v>0</v>
      </c>
      <c r="F113" s="358">
        <v>896</v>
      </c>
      <c r="G113" s="358">
        <v>0</v>
      </c>
      <c r="H113" s="358">
        <v>165</v>
      </c>
      <c r="I113" s="358"/>
      <c r="J113" s="358">
        <v>1256</v>
      </c>
      <c r="K113" s="356"/>
      <c r="N113" t="s">
        <v>909</v>
      </c>
    </row>
    <row r="114" spans="1:14" x14ac:dyDescent="0.25">
      <c r="A114" s="359" t="s">
        <v>401</v>
      </c>
      <c r="B114">
        <v>205881</v>
      </c>
      <c r="C114" t="s">
        <v>908</v>
      </c>
      <c r="D114" s="358">
        <v>975</v>
      </c>
      <c r="E114" s="355">
        <v>0</v>
      </c>
      <c r="F114" s="358">
        <v>2240</v>
      </c>
      <c r="G114" s="358">
        <v>0</v>
      </c>
      <c r="H114" s="358">
        <v>990</v>
      </c>
      <c r="I114" s="358"/>
      <c r="J114" s="358">
        <v>4205</v>
      </c>
      <c r="K114" s="356"/>
      <c r="N114" t="s">
        <v>910</v>
      </c>
    </row>
    <row r="115" spans="1:14" x14ac:dyDescent="0.25">
      <c r="A115" s="359" t="s">
        <v>403</v>
      </c>
      <c r="B115" t="s">
        <v>402</v>
      </c>
      <c r="C115" t="s">
        <v>909</v>
      </c>
      <c r="D115" s="358">
        <v>0</v>
      </c>
      <c r="E115" s="355">
        <v>0</v>
      </c>
      <c r="F115" s="358">
        <v>0</v>
      </c>
      <c r="G115" s="358">
        <v>0</v>
      </c>
      <c r="H115" s="358">
        <v>165</v>
      </c>
      <c r="I115" s="358"/>
      <c r="J115" s="358">
        <v>165</v>
      </c>
      <c r="K115" s="356"/>
      <c r="N115" t="s">
        <v>911</v>
      </c>
    </row>
    <row r="116" spans="1:14" x14ac:dyDescent="0.25">
      <c r="A116" s="359" t="s">
        <v>405</v>
      </c>
      <c r="B116" t="s">
        <v>404</v>
      </c>
      <c r="C116" t="s">
        <v>910</v>
      </c>
      <c r="D116" s="358">
        <v>0</v>
      </c>
      <c r="E116" s="355">
        <v>0</v>
      </c>
      <c r="F116" s="358">
        <v>420</v>
      </c>
      <c r="G116" s="358">
        <v>0</v>
      </c>
      <c r="H116" s="358">
        <v>330</v>
      </c>
      <c r="I116" s="358"/>
      <c r="J116" s="358">
        <v>750</v>
      </c>
      <c r="K116" s="356"/>
      <c r="N116" t="s">
        <v>1022</v>
      </c>
    </row>
    <row r="117" spans="1:14" x14ac:dyDescent="0.25">
      <c r="A117" s="359" t="s">
        <v>407</v>
      </c>
      <c r="B117" t="s">
        <v>406</v>
      </c>
      <c r="C117" t="s">
        <v>911</v>
      </c>
      <c r="D117" s="358">
        <v>195</v>
      </c>
      <c r="E117" s="355">
        <v>0</v>
      </c>
      <c r="F117" s="358">
        <v>504</v>
      </c>
      <c r="G117" s="358">
        <v>0</v>
      </c>
      <c r="H117" s="358">
        <v>330</v>
      </c>
      <c r="I117" s="358"/>
      <c r="J117" s="358">
        <v>1029</v>
      </c>
      <c r="K117" s="356"/>
      <c r="N117" t="s">
        <v>912</v>
      </c>
    </row>
    <row r="118" spans="1:14" x14ac:dyDescent="0.25">
      <c r="A118" s="359" t="s">
        <v>408</v>
      </c>
      <c r="B118" t="s">
        <v>1022</v>
      </c>
      <c r="C118" t="s">
        <v>1022</v>
      </c>
      <c r="D118" s="358">
        <v>0</v>
      </c>
      <c r="E118" s="355">
        <v>0</v>
      </c>
      <c r="F118" s="358">
        <v>0</v>
      </c>
      <c r="G118" s="358">
        <v>0</v>
      </c>
      <c r="H118" s="358">
        <v>0</v>
      </c>
      <c r="I118" s="358"/>
      <c r="J118" s="358">
        <v>0</v>
      </c>
      <c r="K118" s="356"/>
      <c r="N118" t="s">
        <v>1024</v>
      </c>
    </row>
    <row r="119" spans="1:14" x14ac:dyDescent="0.25">
      <c r="A119" s="359" t="s">
        <v>410</v>
      </c>
      <c r="B119" t="s">
        <v>409</v>
      </c>
      <c r="C119" t="s">
        <v>912</v>
      </c>
      <c r="D119" s="358">
        <v>273</v>
      </c>
      <c r="E119" s="355">
        <v>0</v>
      </c>
      <c r="F119" s="358">
        <v>686</v>
      </c>
      <c r="G119" s="358">
        <v>0</v>
      </c>
      <c r="H119" s="358">
        <v>110</v>
      </c>
      <c r="I119" s="358"/>
      <c r="J119" s="358">
        <v>1069</v>
      </c>
      <c r="K119" s="356"/>
      <c r="N119" t="s">
        <v>913</v>
      </c>
    </row>
    <row r="120" spans="1:14" x14ac:dyDescent="0.25">
      <c r="A120" s="359" t="s">
        <v>1023</v>
      </c>
      <c r="B120" t="s">
        <v>1336</v>
      </c>
      <c r="C120" t="s">
        <v>1336</v>
      </c>
      <c r="D120" s="358">
        <v>195</v>
      </c>
      <c r="E120" s="355">
        <v>0</v>
      </c>
      <c r="F120" s="358">
        <v>0</v>
      </c>
      <c r="G120" s="358">
        <v>0</v>
      </c>
      <c r="H120" s="358">
        <v>165</v>
      </c>
      <c r="I120" s="358"/>
      <c r="J120" s="358">
        <v>360</v>
      </c>
      <c r="K120" s="356"/>
      <c r="N120" t="s">
        <v>914</v>
      </c>
    </row>
    <row r="121" spans="1:14" x14ac:dyDescent="0.25">
      <c r="A121" s="359" t="s">
        <v>1337</v>
      </c>
      <c r="B121" t="s">
        <v>1338</v>
      </c>
      <c r="C121" t="s">
        <v>1338</v>
      </c>
      <c r="D121" s="358">
        <v>0</v>
      </c>
      <c r="E121" s="355">
        <v>0</v>
      </c>
      <c r="F121" s="358">
        <v>616</v>
      </c>
      <c r="G121" s="358">
        <v>0</v>
      </c>
      <c r="H121" s="358">
        <v>0</v>
      </c>
      <c r="I121" s="358"/>
      <c r="J121" s="358">
        <v>616</v>
      </c>
      <c r="K121" s="356"/>
      <c r="N121" t="s">
        <v>916</v>
      </c>
    </row>
    <row r="122" spans="1:14" x14ac:dyDescent="0.25">
      <c r="A122" s="359" t="s">
        <v>416</v>
      </c>
      <c r="B122" t="s">
        <v>913</v>
      </c>
      <c r="C122" t="s">
        <v>913</v>
      </c>
      <c r="D122" s="358">
        <v>390</v>
      </c>
      <c r="E122" s="355">
        <v>0</v>
      </c>
      <c r="F122" s="358">
        <v>1645</v>
      </c>
      <c r="G122" s="358">
        <v>0</v>
      </c>
      <c r="H122" s="358">
        <v>330</v>
      </c>
      <c r="I122" s="358"/>
      <c r="J122" s="358">
        <v>2365</v>
      </c>
      <c r="K122" s="356"/>
      <c r="N122" t="s">
        <v>918</v>
      </c>
    </row>
    <row r="123" spans="1:14" x14ac:dyDescent="0.25">
      <c r="A123" s="359" t="s">
        <v>411</v>
      </c>
      <c r="B123" t="s">
        <v>1042</v>
      </c>
      <c r="C123" t="s">
        <v>1042</v>
      </c>
      <c r="D123" s="358">
        <v>0</v>
      </c>
      <c r="E123" s="355">
        <v>0</v>
      </c>
      <c r="F123" s="358">
        <v>420</v>
      </c>
      <c r="G123" s="358">
        <v>0</v>
      </c>
      <c r="H123" s="358">
        <v>0</v>
      </c>
      <c r="I123" s="358"/>
      <c r="J123" s="358">
        <v>420</v>
      </c>
      <c r="K123" s="356"/>
      <c r="N123" t="s">
        <v>919</v>
      </c>
    </row>
    <row r="124" spans="1:14" x14ac:dyDescent="0.25">
      <c r="A124" s="359" t="s">
        <v>418</v>
      </c>
      <c r="B124" t="s">
        <v>1360</v>
      </c>
      <c r="C124" t="s">
        <v>1360</v>
      </c>
      <c r="D124" s="358">
        <v>195</v>
      </c>
      <c r="E124" s="355">
        <v>0</v>
      </c>
      <c r="F124" s="358">
        <v>406</v>
      </c>
      <c r="G124" s="358">
        <v>0</v>
      </c>
      <c r="H124" s="358">
        <v>0</v>
      </c>
      <c r="I124" s="358"/>
      <c r="J124" s="358">
        <v>601</v>
      </c>
      <c r="K124" s="356"/>
      <c r="N124" t="s">
        <v>920</v>
      </c>
    </row>
    <row r="125" spans="1:14" x14ac:dyDescent="0.25">
      <c r="A125" s="359" t="s">
        <v>421</v>
      </c>
      <c r="B125">
        <v>205878</v>
      </c>
      <c r="C125" t="s">
        <v>914</v>
      </c>
      <c r="D125" s="358">
        <v>780</v>
      </c>
      <c r="E125" s="355">
        <v>0</v>
      </c>
      <c r="F125" s="358">
        <v>840</v>
      </c>
      <c r="G125" s="358">
        <v>0</v>
      </c>
      <c r="H125" s="358">
        <v>660</v>
      </c>
      <c r="I125" s="358"/>
      <c r="J125" s="358">
        <v>2280</v>
      </c>
      <c r="K125" s="356"/>
      <c r="N125" t="s">
        <v>921</v>
      </c>
    </row>
    <row r="126" spans="1:14" x14ac:dyDescent="0.25">
      <c r="A126" s="359" t="s">
        <v>915</v>
      </c>
      <c r="B126" t="s">
        <v>916</v>
      </c>
      <c r="C126" t="s">
        <v>916</v>
      </c>
      <c r="D126" s="358">
        <v>577.19999999999993</v>
      </c>
      <c r="E126" s="355">
        <v>0</v>
      </c>
      <c r="F126" s="358">
        <v>994</v>
      </c>
      <c r="G126" s="358">
        <v>0</v>
      </c>
      <c r="H126" s="358">
        <v>88</v>
      </c>
      <c r="I126" s="358"/>
      <c r="J126" s="358">
        <v>1659.1999999999998</v>
      </c>
      <c r="K126" s="356"/>
      <c r="N126" t="s">
        <v>679</v>
      </c>
    </row>
    <row r="127" spans="1:14" x14ac:dyDescent="0.25">
      <c r="A127" s="359" t="s">
        <v>917</v>
      </c>
      <c r="B127" t="s">
        <v>918</v>
      </c>
      <c r="C127" t="s">
        <v>918</v>
      </c>
      <c r="D127" s="358">
        <v>390</v>
      </c>
      <c r="E127" s="355">
        <v>0</v>
      </c>
      <c r="F127" s="358">
        <v>384.3</v>
      </c>
      <c r="G127" s="358">
        <v>0</v>
      </c>
      <c r="H127" s="358">
        <v>330</v>
      </c>
      <c r="I127" s="358"/>
      <c r="J127" s="358">
        <v>1104.3</v>
      </c>
      <c r="K127" s="356"/>
      <c r="N127" t="s">
        <v>922</v>
      </c>
    </row>
    <row r="128" spans="1:14" x14ac:dyDescent="0.25">
      <c r="A128" s="359" t="s">
        <v>423</v>
      </c>
      <c r="B128" t="s">
        <v>422</v>
      </c>
      <c r="C128" t="s">
        <v>919</v>
      </c>
      <c r="D128" s="358">
        <v>195</v>
      </c>
      <c r="E128" s="355">
        <v>0</v>
      </c>
      <c r="F128" s="358">
        <v>420</v>
      </c>
      <c r="G128" s="358">
        <v>0</v>
      </c>
      <c r="H128" s="358">
        <v>330</v>
      </c>
      <c r="I128" s="358"/>
      <c r="J128" s="358">
        <v>945</v>
      </c>
      <c r="K128" s="356"/>
      <c r="N128" t="s">
        <v>923</v>
      </c>
    </row>
    <row r="129" spans="1:14" x14ac:dyDescent="0.25">
      <c r="A129" s="359" t="s">
        <v>425</v>
      </c>
      <c r="B129" t="s">
        <v>424</v>
      </c>
      <c r="C129" t="s">
        <v>920</v>
      </c>
      <c r="D129" s="358">
        <v>195</v>
      </c>
      <c r="E129" s="355">
        <v>0</v>
      </c>
      <c r="F129" s="358">
        <v>714</v>
      </c>
      <c r="G129" s="358">
        <v>0</v>
      </c>
      <c r="H129" s="358">
        <v>165</v>
      </c>
      <c r="I129" s="358"/>
      <c r="J129" s="358">
        <v>1074</v>
      </c>
      <c r="K129" s="356"/>
      <c r="N129" t="s">
        <v>681</v>
      </c>
    </row>
    <row r="130" spans="1:14" x14ac:dyDescent="0.25">
      <c r="A130" s="359" t="s">
        <v>426</v>
      </c>
      <c r="B130" t="s">
        <v>921</v>
      </c>
      <c r="C130" t="s">
        <v>921</v>
      </c>
      <c r="D130" s="358">
        <v>195</v>
      </c>
      <c r="E130" s="355">
        <v>0</v>
      </c>
      <c r="F130" s="358">
        <v>0</v>
      </c>
      <c r="G130" s="358">
        <v>0</v>
      </c>
      <c r="H130" s="358">
        <v>110</v>
      </c>
      <c r="I130" s="358"/>
      <c r="J130" s="358">
        <v>305</v>
      </c>
      <c r="K130" s="356"/>
      <c r="N130" t="s">
        <v>924</v>
      </c>
    </row>
    <row r="131" spans="1:14" x14ac:dyDescent="0.25">
      <c r="A131" s="359" t="s">
        <v>427</v>
      </c>
      <c r="B131" t="s">
        <v>679</v>
      </c>
      <c r="C131" t="s">
        <v>679</v>
      </c>
      <c r="D131" s="358">
        <v>585</v>
      </c>
      <c r="E131" s="355">
        <v>0</v>
      </c>
      <c r="F131" s="358">
        <v>1680</v>
      </c>
      <c r="G131" s="358">
        <v>0</v>
      </c>
      <c r="H131" s="358">
        <v>660</v>
      </c>
      <c r="I131" s="358"/>
      <c r="J131" s="358">
        <v>2925</v>
      </c>
      <c r="K131" s="356"/>
      <c r="N131" t="s">
        <v>925</v>
      </c>
    </row>
    <row r="132" spans="1:14" x14ac:dyDescent="0.25">
      <c r="A132" s="359" t="s">
        <v>431</v>
      </c>
      <c r="B132" t="s">
        <v>430</v>
      </c>
      <c r="C132" t="s">
        <v>922</v>
      </c>
      <c r="D132" s="358">
        <v>390</v>
      </c>
      <c r="E132" s="355">
        <v>0</v>
      </c>
      <c r="F132" s="358">
        <v>1722</v>
      </c>
      <c r="G132" s="358">
        <v>0</v>
      </c>
      <c r="H132" s="358">
        <v>462</v>
      </c>
      <c r="I132" s="358"/>
      <c r="J132" s="358">
        <v>2574</v>
      </c>
      <c r="K132" s="356"/>
      <c r="N132" t="s">
        <v>926</v>
      </c>
    </row>
    <row r="133" spans="1:14" x14ac:dyDescent="0.25">
      <c r="A133" s="359" t="s">
        <v>433</v>
      </c>
      <c r="B133" t="s">
        <v>432</v>
      </c>
      <c r="C133" t="s">
        <v>923</v>
      </c>
      <c r="D133" s="358">
        <v>195</v>
      </c>
      <c r="E133" s="355">
        <v>0</v>
      </c>
      <c r="F133" s="358">
        <v>420</v>
      </c>
      <c r="G133" s="358">
        <v>0</v>
      </c>
      <c r="H133" s="358">
        <v>165</v>
      </c>
      <c r="I133" s="358"/>
      <c r="J133" s="358">
        <v>780</v>
      </c>
      <c r="K133" s="356"/>
      <c r="N133" t="s">
        <v>927</v>
      </c>
    </row>
    <row r="134" spans="1:14" x14ac:dyDescent="0.25">
      <c r="A134" s="359" t="s">
        <v>435</v>
      </c>
      <c r="B134" t="s">
        <v>681</v>
      </c>
      <c r="C134" t="s">
        <v>681</v>
      </c>
      <c r="D134" s="358">
        <v>471.25</v>
      </c>
      <c r="E134" s="355">
        <v>0</v>
      </c>
      <c r="F134" s="358">
        <v>560</v>
      </c>
      <c r="G134" s="358">
        <v>0</v>
      </c>
      <c r="H134" s="358">
        <v>288.75</v>
      </c>
      <c r="I134" s="358"/>
      <c r="J134" s="358">
        <v>1320</v>
      </c>
      <c r="K134" s="356"/>
      <c r="N134" t="s">
        <v>928</v>
      </c>
    </row>
    <row r="135" spans="1:14" x14ac:dyDescent="0.25">
      <c r="A135" s="359" t="s">
        <v>437</v>
      </c>
      <c r="B135" t="s">
        <v>436</v>
      </c>
      <c r="C135" t="s">
        <v>924</v>
      </c>
      <c r="D135" s="358">
        <v>390</v>
      </c>
      <c r="E135" s="355">
        <v>0</v>
      </c>
      <c r="F135" s="358">
        <v>420</v>
      </c>
      <c r="G135" s="358">
        <v>0</v>
      </c>
      <c r="H135" s="358">
        <v>495</v>
      </c>
      <c r="I135" s="358"/>
      <c r="J135" s="358">
        <v>1305</v>
      </c>
      <c r="K135" s="356"/>
      <c r="N135" t="s">
        <v>929</v>
      </c>
    </row>
    <row r="136" spans="1:14" x14ac:dyDescent="0.25">
      <c r="A136" s="359" t="s">
        <v>441</v>
      </c>
      <c r="B136" t="s">
        <v>440</v>
      </c>
      <c r="C136" t="s">
        <v>925</v>
      </c>
      <c r="D136" s="358">
        <v>390</v>
      </c>
      <c r="E136" s="355">
        <v>0</v>
      </c>
      <c r="F136" s="358">
        <v>1449</v>
      </c>
      <c r="G136" s="358">
        <v>0</v>
      </c>
      <c r="H136" s="358">
        <v>165</v>
      </c>
      <c r="I136" s="358"/>
      <c r="J136" s="358">
        <v>2004</v>
      </c>
      <c r="K136" s="356"/>
      <c r="N136" t="s">
        <v>930</v>
      </c>
    </row>
    <row r="137" spans="1:14" x14ac:dyDescent="0.25">
      <c r="A137" s="359" t="s">
        <v>443</v>
      </c>
      <c r="B137" t="s">
        <v>442</v>
      </c>
      <c r="C137" t="s">
        <v>926</v>
      </c>
      <c r="D137" s="358">
        <v>585</v>
      </c>
      <c r="E137" s="355">
        <v>0</v>
      </c>
      <c r="F137" s="358">
        <v>1025.3157894736842</v>
      </c>
      <c r="G137" s="358">
        <v>0</v>
      </c>
      <c r="H137" s="358">
        <v>495</v>
      </c>
      <c r="I137" s="358"/>
      <c r="J137" s="358">
        <v>2105.3157894736842</v>
      </c>
      <c r="K137" s="356"/>
      <c r="N137" t="s">
        <v>931</v>
      </c>
    </row>
    <row r="138" spans="1:14" x14ac:dyDescent="0.25">
      <c r="A138" s="359" t="s">
        <v>445</v>
      </c>
      <c r="B138" t="s">
        <v>444</v>
      </c>
      <c r="C138" t="s">
        <v>927</v>
      </c>
      <c r="D138" s="358">
        <v>0</v>
      </c>
      <c r="E138" s="355">
        <v>0</v>
      </c>
      <c r="F138" s="358">
        <v>0</v>
      </c>
      <c r="G138" s="358">
        <v>0</v>
      </c>
      <c r="H138" s="358">
        <v>0</v>
      </c>
      <c r="I138" s="358"/>
      <c r="J138" s="358">
        <v>0</v>
      </c>
      <c r="K138" s="356"/>
      <c r="N138" t="s">
        <v>933</v>
      </c>
    </row>
    <row r="139" spans="1:14" x14ac:dyDescent="0.25">
      <c r="A139" s="359" t="s">
        <v>446</v>
      </c>
      <c r="B139">
        <v>206046</v>
      </c>
      <c r="C139" t="s">
        <v>928</v>
      </c>
      <c r="D139" s="358">
        <v>1482</v>
      </c>
      <c r="E139" s="355">
        <v>0</v>
      </c>
      <c r="F139" s="358">
        <v>1834</v>
      </c>
      <c r="G139" s="358">
        <v>0</v>
      </c>
      <c r="H139" s="358">
        <v>1155</v>
      </c>
      <c r="I139" s="358"/>
      <c r="J139" s="358">
        <v>4471</v>
      </c>
      <c r="K139" s="356"/>
      <c r="N139" t="s">
        <v>1045</v>
      </c>
    </row>
    <row r="140" spans="1:14" x14ac:dyDescent="0.25">
      <c r="A140" s="359" t="s">
        <v>448</v>
      </c>
      <c r="B140" t="s">
        <v>929</v>
      </c>
      <c r="C140" t="s">
        <v>929</v>
      </c>
      <c r="D140" s="358">
        <v>162.5</v>
      </c>
      <c r="E140" s="355">
        <v>0</v>
      </c>
      <c r="F140" s="358">
        <v>0</v>
      </c>
      <c r="G140" s="358">
        <v>0</v>
      </c>
      <c r="H140" s="358">
        <v>467.5</v>
      </c>
      <c r="I140" s="358"/>
      <c r="J140" s="358">
        <v>630</v>
      </c>
      <c r="K140" s="356"/>
      <c r="N140" t="s">
        <v>934</v>
      </c>
    </row>
    <row r="141" spans="1:14" x14ac:dyDescent="0.25">
      <c r="A141" s="359" t="s">
        <v>450</v>
      </c>
      <c r="B141" t="s">
        <v>449</v>
      </c>
      <c r="C141" t="s">
        <v>930</v>
      </c>
      <c r="D141" s="358">
        <v>585</v>
      </c>
      <c r="E141" s="355">
        <v>0</v>
      </c>
      <c r="F141" s="358">
        <v>840</v>
      </c>
      <c r="G141" s="358">
        <v>0</v>
      </c>
      <c r="H141" s="358">
        <v>330</v>
      </c>
      <c r="I141" s="358"/>
      <c r="J141" s="358">
        <v>1755</v>
      </c>
      <c r="K141" s="356"/>
      <c r="N141" t="s">
        <v>935</v>
      </c>
    </row>
    <row r="142" spans="1:14" x14ac:dyDescent="0.25">
      <c r="A142" s="359" t="s">
        <v>1043</v>
      </c>
      <c r="B142" t="s">
        <v>1365</v>
      </c>
      <c r="C142" t="s">
        <v>1365</v>
      </c>
      <c r="D142" s="358">
        <v>0</v>
      </c>
      <c r="E142" s="355">
        <v>0</v>
      </c>
      <c r="F142" s="358">
        <v>420</v>
      </c>
      <c r="G142" s="358">
        <v>0</v>
      </c>
      <c r="H142" s="358">
        <v>0</v>
      </c>
      <c r="I142" s="358"/>
      <c r="J142" s="358">
        <v>420</v>
      </c>
      <c r="K142" s="356"/>
      <c r="N142" t="s">
        <v>936</v>
      </c>
    </row>
    <row r="143" spans="1:14" x14ac:dyDescent="0.25">
      <c r="A143" s="359" t="s">
        <v>454</v>
      </c>
      <c r="B143" s="376">
        <v>205978</v>
      </c>
      <c r="C143" s="376" t="s">
        <v>931</v>
      </c>
      <c r="D143" s="358">
        <v>390</v>
      </c>
      <c r="E143" s="355">
        <v>0</v>
      </c>
      <c r="F143" s="358">
        <v>419.4473684210526</v>
      </c>
      <c r="G143" s="358">
        <v>0</v>
      </c>
      <c r="H143" s="358">
        <v>588.5</v>
      </c>
      <c r="I143" s="358"/>
      <c r="J143" s="358">
        <v>1397.9473684210525</v>
      </c>
      <c r="K143" s="356"/>
      <c r="N143" t="s">
        <v>1055</v>
      </c>
    </row>
    <row r="144" spans="1:14" x14ac:dyDescent="0.25">
      <c r="A144" s="359" t="s">
        <v>932</v>
      </c>
      <c r="B144" t="s">
        <v>933</v>
      </c>
      <c r="C144" t="s">
        <v>933</v>
      </c>
      <c r="D144" s="358">
        <v>585</v>
      </c>
      <c r="E144" s="355">
        <v>0</v>
      </c>
      <c r="F144" s="358">
        <v>1043.3684210526317</v>
      </c>
      <c r="G144" s="358">
        <v>0</v>
      </c>
      <c r="H144" s="358">
        <v>165</v>
      </c>
      <c r="I144" s="358"/>
      <c r="J144" s="358">
        <v>1793.3684210526317</v>
      </c>
      <c r="K144" s="356"/>
      <c r="N144" t="s">
        <v>937</v>
      </c>
    </row>
    <row r="145" spans="1:14" x14ac:dyDescent="0.25">
      <c r="A145" s="359" t="s">
        <v>1053</v>
      </c>
      <c r="B145" t="s">
        <v>1045</v>
      </c>
      <c r="C145" t="s">
        <v>1045</v>
      </c>
      <c r="D145" s="358">
        <v>195</v>
      </c>
      <c r="E145" s="355">
        <v>0</v>
      </c>
      <c r="F145" s="358">
        <v>0</v>
      </c>
      <c r="G145" s="358">
        <v>0</v>
      </c>
      <c r="H145" s="358">
        <v>330</v>
      </c>
      <c r="I145" s="358"/>
      <c r="J145" s="358">
        <v>525</v>
      </c>
      <c r="K145" s="356"/>
      <c r="N145" t="s">
        <v>938</v>
      </c>
    </row>
    <row r="146" spans="1:14" x14ac:dyDescent="0.25">
      <c r="A146" s="359" t="s">
        <v>1054</v>
      </c>
      <c r="B146" t="s">
        <v>934</v>
      </c>
      <c r="C146" t="s">
        <v>934</v>
      </c>
      <c r="D146" s="358">
        <v>513.5</v>
      </c>
      <c r="E146" s="355">
        <v>0</v>
      </c>
      <c r="F146" s="358">
        <v>1116.5</v>
      </c>
      <c r="G146" s="358">
        <v>0</v>
      </c>
      <c r="H146" s="358">
        <v>396</v>
      </c>
      <c r="I146" s="358"/>
      <c r="J146" s="358">
        <v>2026</v>
      </c>
      <c r="K146" s="356"/>
      <c r="N146" t="s">
        <v>939</v>
      </c>
    </row>
    <row r="147" spans="1:14" x14ac:dyDescent="0.25">
      <c r="A147" s="359" t="s">
        <v>458</v>
      </c>
      <c r="B147">
        <v>206043</v>
      </c>
      <c r="C147" t="s">
        <v>935</v>
      </c>
      <c r="D147" s="358">
        <v>975</v>
      </c>
      <c r="E147" s="355">
        <v>0</v>
      </c>
      <c r="F147" s="358">
        <v>1232</v>
      </c>
      <c r="G147" s="358">
        <v>0</v>
      </c>
      <c r="H147" s="358">
        <v>874.5</v>
      </c>
      <c r="I147" s="358"/>
      <c r="J147" s="358">
        <v>3081.5</v>
      </c>
      <c r="K147" s="356"/>
      <c r="N147" t="s">
        <v>940</v>
      </c>
    </row>
    <row r="148" spans="1:14" x14ac:dyDescent="0.25">
      <c r="A148" s="359" t="s">
        <v>460</v>
      </c>
      <c r="B148" t="s">
        <v>459</v>
      </c>
      <c r="C148" t="s">
        <v>936</v>
      </c>
      <c r="D148" s="358">
        <v>585</v>
      </c>
      <c r="E148" s="355">
        <v>0</v>
      </c>
      <c r="F148" s="358">
        <v>1260</v>
      </c>
      <c r="G148" s="358">
        <v>0</v>
      </c>
      <c r="H148" s="358">
        <v>495</v>
      </c>
      <c r="I148" s="358"/>
      <c r="J148" s="358">
        <v>2340</v>
      </c>
      <c r="K148" s="356"/>
      <c r="N148" t="s">
        <v>941</v>
      </c>
    </row>
    <row r="149" spans="1:14" x14ac:dyDescent="0.25">
      <c r="A149" s="359" t="s">
        <v>461</v>
      </c>
      <c r="B149" t="s">
        <v>1055</v>
      </c>
      <c r="C149" t="s">
        <v>1055</v>
      </c>
      <c r="D149" s="358">
        <v>0</v>
      </c>
      <c r="E149" s="355">
        <v>0</v>
      </c>
      <c r="F149" s="358">
        <v>0</v>
      </c>
      <c r="G149" s="358">
        <v>0</v>
      </c>
      <c r="H149" s="358">
        <v>0</v>
      </c>
      <c r="I149" s="358"/>
      <c r="J149" s="358">
        <v>0</v>
      </c>
      <c r="K149" s="356"/>
      <c r="N149" t="s">
        <v>942</v>
      </c>
    </row>
    <row r="150" spans="1:14" x14ac:dyDescent="0.25">
      <c r="A150" s="359" t="s">
        <v>463</v>
      </c>
      <c r="B150" t="s">
        <v>462</v>
      </c>
      <c r="C150" t="s">
        <v>937</v>
      </c>
      <c r="D150" s="358">
        <v>0</v>
      </c>
      <c r="E150" s="355">
        <v>0</v>
      </c>
      <c r="F150" s="358">
        <v>728</v>
      </c>
      <c r="G150" s="358">
        <v>0</v>
      </c>
      <c r="H150" s="358">
        <v>0</v>
      </c>
      <c r="I150" s="358"/>
      <c r="J150" s="358">
        <v>728</v>
      </c>
      <c r="K150" s="356"/>
      <c r="N150" t="s">
        <v>943</v>
      </c>
    </row>
    <row r="151" spans="1:14" x14ac:dyDescent="0.25">
      <c r="A151" s="359" t="s">
        <v>465</v>
      </c>
      <c r="B151" t="s">
        <v>464</v>
      </c>
      <c r="C151" t="s">
        <v>938</v>
      </c>
      <c r="D151" s="358">
        <v>0</v>
      </c>
      <c r="E151" s="355">
        <v>0</v>
      </c>
      <c r="F151" s="358">
        <v>0</v>
      </c>
      <c r="G151" s="358">
        <v>0</v>
      </c>
      <c r="H151" s="358">
        <v>0</v>
      </c>
      <c r="I151" s="358"/>
      <c r="J151" s="358">
        <v>0</v>
      </c>
      <c r="K151" s="356"/>
      <c r="N151" t="s">
        <v>944</v>
      </c>
    </row>
    <row r="152" spans="1:14" x14ac:dyDescent="0.25">
      <c r="A152" s="359" t="s">
        <v>467</v>
      </c>
      <c r="B152" t="s">
        <v>466</v>
      </c>
      <c r="C152" t="s">
        <v>939</v>
      </c>
      <c r="D152" s="358">
        <v>195</v>
      </c>
      <c r="E152" s="355">
        <v>0</v>
      </c>
      <c r="F152" s="358">
        <v>420</v>
      </c>
      <c r="G152" s="358">
        <v>0</v>
      </c>
      <c r="H152" s="358">
        <v>330</v>
      </c>
      <c r="I152" s="358"/>
      <c r="J152" s="358">
        <v>945</v>
      </c>
      <c r="K152" s="356"/>
      <c r="N152" t="s">
        <v>947</v>
      </c>
    </row>
    <row r="153" spans="1:14" x14ac:dyDescent="0.25">
      <c r="A153" s="359" t="s">
        <v>469</v>
      </c>
      <c r="B153" t="s">
        <v>468</v>
      </c>
      <c r="C153" t="s">
        <v>940</v>
      </c>
      <c r="D153" s="358">
        <v>0</v>
      </c>
      <c r="E153" s="355">
        <v>0</v>
      </c>
      <c r="F153" s="358">
        <v>286.3</v>
      </c>
      <c r="G153" s="358">
        <v>0</v>
      </c>
      <c r="H153" s="358">
        <v>165</v>
      </c>
      <c r="I153" s="358"/>
      <c r="J153" s="358">
        <v>451.3</v>
      </c>
      <c r="K153" s="356"/>
      <c r="N153" t="s">
        <v>948</v>
      </c>
    </row>
    <row r="154" spans="1:14" x14ac:dyDescent="0.25">
      <c r="A154" s="359" t="s">
        <v>471</v>
      </c>
      <c r="B154" t="s">
        <v>470</v>
      </c>
      <c r="C154" t="s">
        <v>941</v>
      </c>
      <c r="D154" s="358">
        <v>0</v>
      </c>
      <c r="E154" s="355">
        <v>0</v>
      </c>
      <c r="F154" s="358">
        <v>420</v>
      </c>
      <c r="G154" s="358">
        <v>0</v>
      </c>
      <c r="H154" s="358">
        <v>0</v>
      </c>
      <c r="I154" s="358"/>
      <c r="J154" s="358">
        <v>420</v>
      </c>
      <c r="K154" s="356"/>
      <c r="N154" t="s">
        <v>949</v>
      </c>
    </row>
    <row r="155" spans="1:14" x14ac:dyDescent="0.25">
      <c r="A155" s="359" t="s">
        <v>473</v>
      </c>
      <c r="B155" t="s">
        <v>472</v>
      </c>
      <c r="C155" t="s">
        <v>942</v>
      </c>
      <c r="D155" s="358">
        <v>780</v>
      </c>
      <c r="E155" s="355">
        <v>0</v>
      </c>
      <c r="F155" s="358">
        <v>1554</v>
      </c>
      <c r="G155" s="358">
        <v>0</v>
      </c>
      <c r="H155" s="358">
        <v>660</v>
      </c>
      <c r="I155" s="358"/>
      <c r="J155" s="358">
        <v>2994</v>
      </c>
      <c r="K155" s="356"/>
      <c r="N155" t="s">
        <v>950</v>
      </c>
    </row>
    <row r="156" spans="1:14" x14ac:dyDescent="0.25">
      <c r="A156" s="359" t="s">
        <v>475</v>
      </c>
      <c r="B156" t="s">
        <v>474</v>
      </c>
      <c r="C156" t="s">
        <v>943</v>
      </c>
      <c r="D156" s="358">
        <v>0</v>
      </c>
      <c r="E156" s="355">
        <v>0</v>
      </c>
      <c r="F156" s="358">
        <v>0</v>
      </c>
      <c r="G156" s="358">
        <v>0</v>
      </c>
      <c r="H156" s="358">
        <v>0</v>
      </c>
      <c r="I156" s="358"/>
      <c r="J156" s="358">
        <v>0</v>
      </c>
      <c r="K156" s="356"/>
      <c r="N156" t="s">
        <v>951</v>
      </c>
    </row>
    <row r="157" spans="1:14" x14ac:dyDescent="0.25">
      <c r="A157" s="359" t="s">
        <v>477</v>
      </c>
      <c r="B157" t="s">
        <v>476</v>
      </c>
      <c r="C157" t="s">
        <v>944</v>
      </c>
      <c r="D157" s="358">
        <v>390</v>
      </c>
      <c r="E157" s="355">
        <v>0</v>
      </c>
      <c r="F157" s="358">
        <v>840</v>
      </c>
      <c r="G157" s="358">
        <v>0</v>
      </c>
      <c r="H157" s="358">
        <v>165</v>
      </c>
      <c r="I157" s="358"/>
      <c r="J157" s="358">
        <v>1395</v>
      </c>
      <c r="K157" s="356"/>
      <c r="N157" t="s">
        <v>952</v>
      </c>
    </row>
    <row r="158" spans="1:14" x14ac:dyDescent="0.25">
      <c r="A158" s="359" t="s">
        <v>479</v>
      </c>
      <c r="B158" t="s">
        <v>478</v>
      </c>
      <c r="C158" t="s">
        <v>947</v>
      </c>
      <c r="D158" s="358">
        <v>0</v>
      </c>
      <c r="E158" s="355">
        <v>0</v>
      </c>
      <c r="F158" s="358">
        <v>0</v>
      </c>
      <c r="G158" s="358">
        <v>0</v>
      </c>
      <c r="H158" s="358">
        <v>0</v>
      </c>
      <c r="I158" s="358"/>
      <c r="J158" s="358">
        <v>0</v>
      </c>
      <c r="K158" s="356"/>
      <c r="N158" t="s">
        <v>953</v>
      </c>
    </row>
    <row r="159" spans="1:14" x14ac:dyDescent="0.25">
      <c r="A159" s="359" t="s">
        <v>481</v>
      </c>
      <c r="B159" t="s">
        <v>480</v>
      </c>
      <c r="C159" t="s">
        <v>948</v>
      </c>
      <c r="D159" s="358">
        <v>702</v>
      </c>
      <c r="E159" s="355">
        <v>0</v>
      </c>
      <c r="F159" s="358">
        <v>1330</v>
      </c>
      <c r="G159" s="358">
        <v>0</v>
      </c>
      <c r="H159" s="358">
        <v>528</v>
      </c>
      <c r="I159" s="358"/>
      <c r="J159" s="358">
        <v>2560</v>
      </c>
      <c r="K159" s="356"/>
      <c r="N159" t="s">
        <v>954</v>
      </c>
    </row>
    <row r="160" spans="1:14" x14ac:dyDescent="0.25">
      <c r="A160" s="359" t="s">
        <v>483</v>
      </c>
      <c r="B160" t="s">
        <v>482</v>
      </c>
      <c r="C160" t="s">
        <v>949</v>
      </c>
      <c r="D160" s="358">
        <v>1521</v>
      </c>
      <c r="E160" s="355">
        <v>0</v>
      </c>
      <c r="F160" s="358">
        <v>4501</v>
      </c>
      <c r="G160" s="358">
        <v>0</v>
      </c>
      <c r="H160" s="358">
        <v>1622.5</v>
      </c>
      <c r="I160" s="358"/>
      <c r="J160" s="358">
        <v>7644.5</v>
      </c>
      <c r="K160" s="356"/>
      <c r="N160" t="s">
        <v>955</v>
      </c>
    </row>
    <row r="161" spans="1:14" x14ac:dyDescent="0.25">
      <c r="A161" s="359" t="s">
        <v>485</v>
      </c>
      <c r="B161" t="s">
        <v>484</v>
      </c>
      <c r="C161" t="s">
        <v>950</v>
      </c>
      <c r="D161" s="358">
        <v>0</v>
      </c>
      <c r="E161" s="355">
        <v>0</v>
      </c>
      <c r="F161" s="358">
        <v>0</v>
      </c>
      <c r="G161" s="358">
        <v>0</v>
      </c>
      <c r="H161" s="358">
        <v>0</v>
      </c>
      <c r="I161" s="358"/>
      <c r="J161" s="358">
        <v>0</v>
      </c>
      <c r="K161" s="356"/>
      <c r="N161" t="s">
        <v>956</v>
      </c>
    </row>
    <row r="162" spans="1:14" x14ac:dyDescent="0.25">
      <c r="A162" s="359" t="s">
        <v>489</v>
      </c>
      <c r="B162" t="s">
        <v>488</v>
      </c>
      <c r="C162" t="s">
        <v>951</v>
      </c>
      <c r="D162" s="358">
        <v>0</v>
      </c>
      <c r="E162" s="355">
        <v>0</v>
      </c>
      <c r="F162" s="358">
        <v>0</v>
      </c>
      <c r="G162" s="358">
        <v>0</v>
      </c>
      <c r="H162" s="358">
        <v>0</v>
      </c>
      <c r="I162" s="358"/>
      <c r="J162" s="358">
        <v>0</v>
      </c>
      <c r="K162" s="356"/>
      <c r="N162" t="s">
        <v>958</v>
      </c>
    </row>
    <row r="163" spans="1:14" x14ac:dyDescent="0.25">
      <c r="A163" s="359" t="s">
        <v>491</v>
      </c>
      <c r="B163" t="s">
        <v>490</v>
      </c>
      <c r="C163" t="s">
        <v>952</v>
      </c>
      <c r="D163" s="358">
        <v>0</v>
      </c>
      <c r="E163" s="355">
        <v>0</v>
      </c>
      <c r="F163" s="358">
        <v>0</v>
      </c>
      <c r="G163" s="358">
        <v>0</v>
      </c>
      <c r="H163" s="358">
        <v>0</v>
      </c>
      <c r="I163" s="358"/>
      <c r="J163" s="358">
        <v>0</v>
      </c>
      <c r="K163" s="356"/>
      <c r="N163" t="s">
        <v>1029</v>
      </c>
    </row>
    <row r="164" spans="1:14" x14ac:dyDescent="0.25">
      <c r="A164" s="359" t="s">
        <v>492</v>
      </c>
      <c r="B164">
        <v>206106</v>
      </c>
      <c r="C164" t="s">
        <v>953</v>
      </c>
      <c r="D164" s="358">
        <v>2643.7997368421047</v>
      </c>
      <c r="E164" s="355">
        <v>0</v>
      </c>
      <c r="F164" s="358">
        <v>4565.8421052631584</v>
      </c>
      <c r="G164" s="358">
        <v>0</v>
      </c>
      <c r="H164" s="358">
        <v>2074.6665789473686</v>
      </c>
      <c r="I164" s="358"/>
      <c r="J164" s="358">
        <v>9284.3084210526322</v>
      </c>
      <c r="K164" s="356"/>
      <c r="N164" t="s">
        <v>959</v>
      </c>
    </row>
    <row r="165" spans="1:14" x14ac:dyDescent="0.25">
      <c r="A165" s="359" t="s">
        <v>496</v>
      </c>
      <c r="B165" t="s">
        <v>495</v>
      </c>
      <c r="C165" t="s">
        <v>954</v>
      </c>
      <c r="D165" s="358">
        <v>975</v>
      </c>
      <c r="E165" s="355">
        <v>0</v>
      </c>
      <c r="F165" s="358">
        <v>1680</v>
      </c>
      <c r="G165" s="358">
        <v>0</v>
      </c>
      <c r="H165" s="358">
        <v>660</v>
      </c>
      <c r="I165" s="358"/>
      <c r="J165" s="358">
        <v>3315</v>
      </c>
      <c r="K165" s="356"/>
      <c r="N165" t="s">
        <v>961</v>
      </c>
    </row>
    <row r="166" spans="1:14" x14ac:dyDescent="0.25">
      <c r="A166" s="359" t="s">
        <v>498</v>
      </c>
      <c r="B166" t="s">
        <v>497</v>
      </c>
      <c r="C166" t="s">
        <v>955</v>
      </c>
      <c r="D166" s="358">
        <v>0</v>
      </c>
      <c r="E166" s="355">
        <v>0</v>
      </c>
      <c r="F166" s="358">
        <v>0</v>
      </c>
      <c r="G166" s="358">
        <v>0</v>
      </c>
      <c r="H166" s="358">
        <v>0</v>
      </c>
      <c r="I166" s="358"/>
      <c r="J166" s="358">
        <v>0</v>
      </c>
      <c r="K166" s="356"/>
      <c r="N166" t="s">
        <v>962</v>
      </c>
    </row>
    <row r="167" spans="1:14" x14ac:dyDescent="0.25">
      <c r="A167" s="359" t="s">
        <v>500</v>
      </c>
      <c r="B167" t="s">
        <v>499</v>
      </c>
      <c r="C167" t="s">
        <v>956</v>
      </c>
      <c r="D167" s="358">
        <v>2903.7894736842104</v>
      </c>
      <c r="E167" s="355">
        <v>0</v>
      </c>
      <c r="F167" s="358">
        <v>6059.4210526315792</v>
      </c>
      <c r="G167" s="358">
        <v>0</v>
      </c>
      <c r="H167" s="358">
        <v>2044.2631578947373</v>
      </c>
      <c r="I167" s="358"/>
      <c r="J167" s="358">
        <v>11007.473684210527</v>
      </c>
      <c r="K167" s="356"/>
      <c r="N167" t="s">
        <v>963</v>
      </c>
    </row>
    <row r="168" spans="1:14" x14ac:dyDescent="0.25">
      <c r="A168" s="359" t="s">
        <v>957</v>
      </c>
      <c r="B168" t="s">
        <v>958</v>
      </c>
      <c r="C168" t="s">
        <v>958</v>
      </c>
      <c r="D168" s="358">
        <v>0</v>
      </c>
      <c r="E168" s="355">
        <v>0</v>
      </c>
      <c r="F168" s="358">
        <v>0</v>
      </c>
      <c r="G168" s="358">
        <v>0</v>
      </c>
      <c r="H168" s="358">
        <v>0</v>
      </c>
      <c r="I168" s="358"/>
      <c r="J168" s="358">
        <v>0</v>
      </c>
      <c r="K168" s="356"/>
      <c r="N168" t="s">
        <v>964</v>
      </c>
    </row>
    <row r="169" spans="1:14" x14ac:dyDescent="0.25">
      <c r="A169" s="359" t="s">
        <v>1028</v>
      </c>
      <c r="B169" t="s">
        <v>1340</v>
      </c>
      <c r="C169" t="s">
        <v>1340</v>
      </c>
      <c r="D169" s="358">
        <v>3403.2186842105257</v>
      </c>
      <c r="E169" s="355">
        <v>0</v>
      </c>
      <c r="F169" s="358">
        <v>6801.0157894736831</v>
      </c>
      <c r="G169" s="358">
        <v>0</v>
      </c>
      <c r="H169" s="358">
        <v>2516.2123684210519</v>
      </c>
      <c r="I169" s="358"/>
      <c r="J169" s="358">
        <v>12720.446842105262</v>
      </c>
      <c r="K169" s="356"/>
      <c r="N169" t="s">
        <v>965</v>
      </c>
    </row>
    <row r="170" spans="1:14" x14ac:dyDescent="0.25">
      <c r="A170" s="359" t="s">
        <v>501</v>
      </c>
      <c r="B170">
        <v>206134</v>
      </c>
      <c r="C170" t="s">
        <v>959</v>
      </c>
      <c r="D170" s="358">
        <v>0</v>
      </c>
      <c r="E170" s="355">
        <v>0</v>
      </c>
      <c r="F170" s="358">
        <v>0</v>
      </c>
      <c r="G170" s="358">
        <v>0</v>
      </c>
      <c r="H170" s="358">
        <v>0</v>
      </c>
      <c r="I170" s="358"/>
      <c r="J170" s="358">
        <v>0</v>
      </c>
      <c r="K170" s="356"/>
      <c r="N170" t="s">
        <v>967</v>
      </c>
    </row>
    <row r="171" spans="1:14" x14ac:dyDescent="0.25">
      <c r="A171" s="359" t="s">
        <v>960</v>
      </c>
      <c r="B171" t="s">
        <v>961</v>
      </c>
      <c r="C171" t="s">
        <v>961</v>
      </c>
      <c r="D171" s="358">
        <v>0</v>
      </c>
      <c r="E171" s="355">
        <v>0</v>
      </c>
      <c r="F171" s="358">
        <v>0</v>
      </c>
      <c r="G171" s="358">
        <v>0</v>
      </c>
      <c r="H171" s="358">
        <v>0</v>
      </c>
      <c r="I171" s="358"/>
      <c r="J171" s="358">
        <v>0</v>
      </c>
      <c r="K171" s="356"/>
      <c r="N171" t="s">
        <v>968</v>
      </c>
    </row>
    <row r="172" spans="1:14" x14ac:dyDescent="0.25">
      <c r="A172" s="359" t="s">
        <v>504</v>
      </c>
      <c r="B172">
        <v>206109</v>
      </c>
      <c r="C172" t="s">
        <v>962</v>
      </c>
      <c r="D172" s="358">
        <v>1796.6547368421056</v>
      </c>
      <c r="E172" s="355">
        <v>0</v>
      </c>
      <c r="F172" s="358">
        <v>6787.4357894736859</v>
      </c>
      <c r="G172" s="358">
        <v>0</v>
      </c>
      <c r="H172" s="358">
        <v>1649.9305263157898</v>
      </c>
      <c r="I172" s="358"/>
      <c r="J172" s="358">
        <v>10234.02105263158</v>
      </c>
      <c r="K172" s="356"/>
      <c r="N172" t="s">
        <v>969</v>
      </c>
    </row>
    <row r="173" spans="1:14" x14ac:dyDescent="0.25">
      <c r="A173" s="359" t="s">
        <v>514</v>
      </c>
      <c r="B173" t="s">
        <v>513</v>
      </c>
      <c r="C173" t="s">
        <v>963</v>
      </c>
      <c r="D173" s="358">
        <v>0</v>
      </c>
      <c r="E173" s="355">
        <v>0</v>
      </c>
      <c r="F173" s="358">
        <v>0</v>
      </c>
      <c r="G173" s="358">
        <v>0</v>
      </c>
      <c r="H173" s="358">
        <v>0</v>
      </c>
      <c r="I173" s="358"/>
      <c r="J173" s="358">
        <v>0</v>
      </c>
      <c r="K173" s="356"/>
      <c r="N173" t="s">
        <v>972</v>
      </c>
    </row>
    <row r="174" spans="1:14" x14ac:dyDescent="0.25">
      <c r="A174" s="359" t="s">
        <v>1341</v>
      </c>
      <c r="B174" t="s">
        <v>1342</v>
      </c>
      <c r="C174" t="s">
        <v>1342</v>
      </c>
      <c r="D174" s="358">
        <v>0</v>
      </c>
      <c r="E174" s="355">
        <v>0</v>
      </c>
      <c r="F174" s="358">
        <v>2938.297894736842</v>
      </c>
      <c r="G174" s="358">
        <v>0</v>
      </c>
      <c r="H174" s="358">
        <v>0</v>
      </c>
      <c r="I174" s="358"/>
      <c r="J174" s="358">
        <v>2938.297894736842</v>
      </c>
      <c r="K174" s="356"/>
      <c r="N174" t="s">
        <v>973</v>
      </c>
    </row>
    <row r="175" spans="1:14" x14ac:dyDescent="0.25">
      <c r="A175" s="359" t="s">
        <v>507</v>
      </c>
      <c r="B175" t="s">
        <v>506</v>
      </c>
      <c r="C175" t="s">
        <v>964</v>
      </c>
      <c r="D175" s="358">
        <v>4095</v>
      </c>
      <c r="E175" s="355">
        <v>0</v>
      </c>
      <c r="F175" s="358">
        <v>9492</v>
      </c>
      <c r="G175" s="358">
        <v>0</v>
      </c>
      <c r="H175" s="358">
        <v>2970</v>
      </c>
      <c r="I175" s="358"/>
      <c r="J175" s="358">
        <v>16557</v>
      </c>
      <c r="K175" s="356"/>
      <c r="N175" t="s">
        <v>974</v>
      </c>
    </row>
    <row r="176" spans="1:14" x14ac:dyDescent="0.25">
      <c r="A176" s="359" t="s">
        <v>1361</v>
      </c>
      <c r="B176" t="s">
        <v>1344</v>
      </c>
      <c r="C176" t="s">
        <v>1344</v>
      </c>
      <c r="D176" s="358">
        <v>0</v>
      </c>
      <c r="E176" s="355">
        <v>0</v>
      </c>
      <c r="F176" s="358">
        <v>1344</v>
      </c>
      <c r="G176" s="358">
        <v>0</v>
      </c>
      <c r="H176" s="358">
        <v>0</v>
      </c>
      <c r="I176" s="358"/>
      <c r="J176" s="358">
        <v>1344</v>
      </c>
      <c r="K176" s="356"/>
      <c r="N176" t="s">
        <v>975</v>
      </c>
    </row>
    <row r="177" spans="1:14" x14ac:dyDescent="0.25">
      <c r="A177" s="359" t="s">
        <v>509</v>
      </c>
      <c r="B177" t="s">
        <v>508</v>
      </c>
      <c r="C177" t="s">
        <v>965</v>
      </c>
      <c r="D177" s="358">
        <v>0</v>
      </c>
      <c r="E177" s="355">
        <v>0</v>
      </c>
      <c r="F177" s="358">
        <v>0</v>
      </c>
      <c r="G177" s="358">
        <v>0</v>
      </c>
      <c r="H177" s="358">
        <v>0</v>
      </c>
      <c r="I177" s="358"/>
      <c r="J177" s="358">
        <v>0</v>
      </c>
      <c r="K177" s="356"/>
      <c r="N177" t="s">
        <v>976</v>
      </c>
    </row>
    <row r="178" spans="1:14" x14ac:dyDescent="0.25">
      <c r="A178" s="359" t="s">
        <v>966</v>
      </c>
      <c r="B178" t="s">
        <v>967</v>
      </c>
      <c r="C178" t="s">
        <v>967</v>
      </c>
      <c r="D178" s="358">
        <v>1560</v>
      </c>
      <c r="E178" s="355">
        <v>0</v>
      </c>
      <c r="F178" s="358">
        <v>839.7568421052631</v>
      </c>
      <c r="G178" s="358">
        <v>0</v>
      </c>
      <c r="H178" s="358">
        <v>1485</v>
      </c>
      <c r="I178" s="358"/>
      <c r="J178" s="358">
        <v>3884.7568421052629</v>
      </c>
      <c r="K178" s="356"/>
      <c r="N178" t="s">
        <v>977</v>
      </c>
    </row>
    <row r="179" spans="1:14" x14ac:dyDescent="0.25">
      <c r="A179" s="359" t="s">
        <v>511</v>
      </c>
      <c r="B179" t="s">
        <v>510</v>
      </c>
      <c r="C179" t="s">
        <v>968</v>
      </c>
      <c r="D179" s="358">
        <v>299.57131578947366</v>
      </c>
      <c r="E179" s="355">
        <v>0</v>
      </c>
      <c r="F179" s="358">
        <v>2197.145263157895</v>
      </c>
      <c r="G179" s="358">
        <v>0</v>
      </c>
      <c r="H179" s="358">
        <v>494.71342105263159</v>
      </c>
      <c r="I179" s="358"/>
      <c r="J179" s="358">
        <v>2991.4300000000003</v>
      </c>
      <c r="K179" s="356"/>
      <c r="N179" t="s">
        <v>978</v>
      </c>
    </row>
    <row r="180" spans="1:14" x14ac:dyDescent="0.25">
      <c r="A180" s="359" t="s">
        <v>512</v>
      </c>
      <c r="B180">
        <v>509197</v>
      </c>
      <c r="C180" t="s">
        <v>969</v>
      </c>
      <c r="D180" s="358">
        <v>2270.846842105263</v>
      </c>
      <c r="E180" s="355">
        <v>0</v>
      </c>
      <c r="F180" s="358">
        <v>2402.6652631578945</v>
      </c>
      <c r="G180" s="358">
        <v>0</v>
      </c>
      <c r="H180" s="358">
        <v>2267.0218421052632</v>
      </c>
      <c r="I180" s="358"/>
      <c r="J180" s="358">
        <v>6940.5339473684207</v>
      </c>
      <c r="K180" s="356"/>
      <c r="N180" t="s">
        <v>1031</v>
      </c>
    </row>
    <row r="181" spans="1:14" ht="25" x14ac:dyDescent="0.25">
      <c r="A181" s="359" t="s">
        <v>516</v>
      </c>
      <c r="B181" s="376" t="s">
        <v>515</v>
      </c>
      <c r="C181" s="376" t="s">
        <v>972</v>
      </c>
      <c r="D181" s="358">
        <v>1755</v>
      </c>
      <c r="E181" s="355">
        <v>0</v>
      </c>
      <c r="F181" s="358">
        <v>840</v>
      </c>
      <c r="G181" s="358">
        <v>0</v>
      </c>
      <c r="H181" s="358">
        <v>1320</v>
      </c>
      <c r="I181" s="358"/>
      <c r="J181" s="358">
        <v>3915</v>
      </c>
      <c r="K181" s="356"/>
      <c r="N181" t="s">
        <v>979</v>
      </c>
    </row>
    <row r="182" spans="1:14" x14ac:dyDescent="0.25">
      <c r="A182" s="359" t="s">
        <v>517</v>
      </c>
      <c r="B182">
        <v>206117</v>
      </c>
      <c r="C182" t="s">
        <v>973</v>
      </c>
      <c r="D182" s="358">
        <v>3445</v>
      </c>
      <c r="E182" s="355">
        <v>0</v>
      </c>
      <c r="F182" s="358">
        <v>10542</v>
      </c>
      <c r="G182" s="358">
        <v>0</v>
      </c>
      <c r="H182" s="358">
        <v>2970</v>
      </c>
      <c r="I182" s="358"/>
      <c r="J182" s="358">
        <v>16957</v>
      </c>
      <c r="K182" s="356"/>
      <c r="N182" t="s">
        <v>980</v>
      </c>
    </row>
    <row r="183" spans="1:14" x14ac:dyDescent="0.25">
      <c r="A183" s="359" t="s">
        <v>518</v>
      </c>
      <c r="B183">
        <v>206141</v>
      </c>
      <c r="C183" t="s">
        <v>974</v>
      </c>
      <c r="D183" s="358">
        <v>0</v>
      </c>
      <c r="E183" s="355">
        <v>0</v>
      </c>
      <c r="F183" s="358">
        <v>0</v>
      </c>
      <c r="G183" s="358">
        <v>0</v>
      </c>
      <c r="H183" s="358">
        <v>0</v>
      </c>
      <c r="I183" s="358"/>
      <c r="J183" s="358">
        <v>0</v>
      </c>
      <c r="K183" s="356"/>
      <c r="N183" t="s">
        <v>981</v>
      </c>
    </row>
    <row r="184" spans="1:14" x14ac:dyDescent="0.25">
      <c r="A184" s="359" t="s">
        <v>520</v>
      </c>
      <c r="B184" t="s">
        <v>519</v>
      </c>
      <c r="C184" t="s">
        <v>975</v>
      </c>
      <c r="D184" s="358">
        <v>8580</v>
      </c>
      <c r="E184" s="355">
        <v>0</v>
      </c>
      <c r="F184" s="358">
        <v>16590</v>
      </c>
      <c r="G184" s="358">
        <v>0</v>
      </c>
      <c r="H184" s="358">
        <v>5747.5</v>
      </c>
      <c r="I184" s="358"/>
      <c r="J184" s="358">
        <v>30917.5</v>
      </c>
      <c r="K184" s="356"/>
      <c r="N184" t="s">
        <v>982</v>
      </c>
    </row>
    <row r="185" spans="1:14" x14ac:dyDescent="0.25">
      <c r="A185" s="359" t="s">
        <v>522</v>
      </c>
      <c r="B185" t="s">
        <v>521</v>
      </c>
      <c r="C185" t="s">
        <v>976</v>
      </c>
      <c r="D185" s="358">
        <v>12747.252631578953</v>
      </c>
      <c r="E185" s="355">
        <v>0</v>
      </c>
      <c r="F185" s="358">
        <v>23750.417894736842</v>
      </c>
      <c r="G185" s="358">
        <v>0</v>
      </c>
      <c r="H185" s="358">
        <v>8626.9873684210561</v>
      </c>
      <c r="I185" s="358"/>
      <c r="J185" s="358">
        <v>45124.657894736847</v>
      </c>
      <c r="K185" s="356"/>
      <c r="N185" t="s">
        <v>985</v>
      </c>
    </row>
    <row r="186" spans="1:14" x14ac:dyDescent="0.25">
      <c r="A186" s="359" t="s">
        <v>523</v>
      </c>
      <c r="B186">
        <v>258408</v>
      </c>
      <c r="C186" t="s">
        <v>977</v>
      </c>
      <c r="D186" s="358">
        <v>1560</v>
      </c>
      <c r="E186" s="355">
        <v>0</v>
      </c>
      <c r="F186" s="358">
        <v>4480</v>
      </c>
      <c r="G186" s="358">
        <v>0</v>
      </c>
      <c r="H186" s="358">
        <v>1815</v>
      </c>
      <c r="I186" s="358"/>
      <c r="J186" s="358">
        <v>7855</v>
      </c>
      <c r="K186" s="356"/>
      <c r="N186" t="s">
        <v>986</v>
      </c>
    </row>
    <row r="187" spans="1:14" x14ac:dyDescent="0.25">
      <c r="A187" s="359" t="s">
        <v>524</v>
      </c>
      <c r="B187">
        <v>258406</v>
      </c>
      <c r="C187" t="s">
        <v>978</v>
      </c>
      <c r="D187" s="358">
        <v>0</v>
      </c>
      <c r="E187" s="355">
        <v>0</v>
      </c>
      <c r="F187" s="358">
        <v>0</v>
      </c>
      <c r="G187" s="358">
        <v>0</v>
      </c>
      <c r="H187" s="358">
        <v>0</v>
      </c>
      <c r="I187" s="358"/>
      <c r="J187" s="358">
        <v>0</v>
      </c>
      <c r="K187" s="356"/>
      <c r="N187" t="s">
        <v>987</v>
      </c>
    </row>
    <row r="188" spans="1:14" x14ac:dyDescent="0.25">
      <c r="A188" s="359" t="s">
        <v>523</v>
      </c>
      <c r="B188" t="s">
        <v>1031</v>
      </c>
      <c r="C188" t="s">
        <v>1031</v>
      </c>
      <c r="D188" s="358">
        <v>6098.5873684210546</v>
      </c>
      <c r="E188" s="355">
        <v>0</v>
      </c>
      <c r="F188" s="358">
        <v>7572.8505263157904</v>
      </c>
      <c r="G188" s="358">
        <v>0</v>
      </c>
      <c r="H188" s="358">
        <v>5460.7936842105282</v>
      </c>
      <c r="I188" s="358"/>
      <c r="J188" s="358">
        <v>19132.231578947372</v>
      </c>
      <c r="K188" s="356"/>
      <c r="N188" t="s">
        <v>988</v>
      </c>
    </row>
    <row r="189" spans="1:14" x14ac:dyDescent="0.25">
      <c r="A189" s="359" t="s">
        <v>525</v>
      </c>
      <c r="B189" t="s">
        <v>979</v>
      </c>
      <c r="C189" t="s">
        <v>979</v>
      </c>
      <c r="D189" s="358">
        <v>1559.2713157894736</v>
      </c>
      <c r="E189" s="355">
        <v>0</v>
      </c>
      <c r="F189" s="358">
        <v>4725.2321052631578</v>
      </c>
      <c r="G189" s="358">
        <v>0</v>
      </c>
      <c r="H189" s="358">
        <v>1484.1402631578947</v>
      </c>
      <c r="I189" s="358"/>
      <c r="J189" s="358">
        <v>7768.6436842105268</v>
      </c>
      <c r="K189" s="356"/>
      <c r="N189" t="s">
        <v>991</v>
      </c>
    </row>
    <row r="190" spans="1:14" x14ac:dyDescent="0.25">
      <c r="A190" s="359" t="s">
        <v>527</v>
      </c>
      <c r="B190" t="s">
        <v>526</v>
      </c>
      <c r="C190" t="s">
        <v>980</v>
      </c>
      <c r="D190" s="358">
        <v>195</v>
      </c>
      <c r="E190" s="355">
        <v>0</v>
      </c>
      <c r="F190" s="358">
        <v>840</v>
      </c>
      <c r="G190" s="358">
        <v>0</v>
      </c>
      <c r="H190" s="358">
        <v>660</v>
      </c>
      <c r="I190" s="358"/>
      <c r="J190" s="358">
        <v>1695</v>
      </c>
      <c r="K190" s="356"/>
      <c r="N190" t="s">
        <v>992</v>
      </c>
    </row>
    <row r="191" spans="1:14" x14ac:dyDescent="0.25">
      <c r="A191" s="359" t="s">
        <v>528</v>
      </c>
      <c r="B191">
        <v>206146</v>
      </c>
      <c r="C191" t="s">
        <v>981</v>
      </c>
      <c r="D191" s="358">
        <v>0</v>
      </c>
      <c r="E191" s="355">
        <v>0</v>
      </c>
      <c r="F191" s="358">
        <v>0</v>
      </c>
      <c r="G191" s="358">
        <v>0</v>
      </c>
      <c r="H191" s="358">
        <v>0</v>
      </c>
      <c r="I191" s="358"/>
      <c r="J191" s="358">
        <v>0</v>
      </c>
      <c r="K191" s="356"/>
      <c r="N191" t="s">
        <v>993</v>
      </c>
    </row>
    <row r="192" spans="1:14" x14ac:dyDescent="0.25">
      <c r="A192" s="359" t="s">
        <v>530</v>
      </c>
      <c r="B192" t="s">
        <v>529</v>
      </c>
      <c r="C192" t="s">
        <v>982</v>
      </c>
      <c r="D192" s="358">
        <v>195</v>
      </c>
      <c r="E192" s="355">
        <v>0</v>
      </c>
      <c r="F192" s="358">
        <v>0</v>
      </c>
      <c r="G192" s="358">
        <v>0</v>
      </c>
      <c r="H192" s="358">
        <v>165</v>
      </c>
      <c r="I192" s="358"/>
      <c r="J192" s="358">
        <v>360</v>
      </c>
      <c r="K192" s="356"/>
      <c r="N192" t="s">
        <v>994</v>
      </c>
    </row>
    <row r="193" spans="1:14" x14ac:dyDescent="0.25">
      <c r="A193" s="359" t="s">
        <v>1032</v>
      </c>
      <c r="B193" t="s">
        <v>1345</v>
      </c>
      <c r="C193" t="s">
        <v>1345</v>
      </c>
      <c r="D193" s="358">
        <v>194.88710526315788</v>
      </c>
      <c r="E193" s="355">
        <v>0</v>
      </c>
      <c r="F193" s="358">
        <v>1889.7015789473685</v>
      </c>
      <c r="G193" s="358">
        <v>0</v>
      </c>
      <c r="H193" s="358">
        <v>0</v>
      </c>
      <c r="I193" s="358"/>
      <c r="J193" s="358">
        <v>2084.5886842105265</v>
      </c>
      <c r="K193" s="356"/>
      <c r="N193" t="s">
        <v>995</v>
      </c>
    </row>
    <row r="194" spans="1:14" x14ac:dyDescent="0.25">
      <c r="A194" s="359" t="s">
        <v>531</v>
      </c>
      <c r="B194">
        <v>2534321</v>
      </c>
      <c r="C194" t="s">
        <v>985</v>
      </c>
      <c r="D194" s="358">
        <v>3900</v>
      </c>
      <c r="E194" s="355">
        <v>0</v>
      </c>
      <c r="F194" s="358">
        <v>6299.3368421052637</v>
      </c>
      <c r="G194" s="358">
        <v>0</v>
      </c>
      <c r="H194" s="358">
        <v>3135</v>
      </c>
      <c r="I194" s="358"/>
      <c r="J194" s="358">
        <v>13334.336842105264</v>
      </c>
      <c r="K194" s="356"/>
      <c r="N194" t="s">
        <v>997</v>
      </c>
    </row>
    <row r="195" spans="1:14" x14ac:dyDescent="0.25">
      <c r="A195" s="359" t="s">
        <v>533</v>
      </c>
      <c r="B195" t="s">
        <v>532</v>
      </c>
      <c r="C195" t="s">
        <v>986</v>
      </c>
      <c r="D195" s="358">
        <v>7306.6089473684169</v>
      </c>
      <c r="E195" s="355">
        <v>0</v>
      </c>
      <c r="F195" s="358">
        <v>14419.417894736838</v>
      </c>
      <c r="G195" s="358">
        <v>0</v>
      </c>
      <c r="H195" s="358">
        <v>5599.2228947368385</v>
      </c>
      <c r="I195" s="358"/>
      <c r="J195" s="358">
        <v>27325.249736842092</v>
      </c>
      <c r="K195" s="356"/>
      <c r="N195" t="s">
        <v>998</v>
      </c>
    </row>
    <row r="196" spans="1:14" x14ac:dyDescent="0.25">
      <c r="A196" s="359" t="s">
        <v>535</v>
      </c>
      <c r="B196" t="s">
        <v>534</v>
      </c>
      <c r="C196" t="s">
        <v>987</v>
      </c>
      <c r="D196" s="358">
        <v>0</v>
      </c>
      <c r="E196" s="355">
        <v>0</v>
      </c>
      <c r="F196" s="358">
        <v>560</v>
      </c>
      <c r="G196" s="358">
        <v>0</v>
      </c>
      <c r="H196" s="358">
        <v>0</v>
      </c>
      <c r="I196" s="358"/>
      <c r="J196" s="358">
        <v>560</v>
      </c>
      <c r="K196" s="356"/>
      <c r="N196" t="s">
        <v>999</v>
      </c>
    </row>
    <row r="197" spans="1:14" x14ac:dyDescent="0.25">
      <c r="A197" s="359" t="s">
        <v>537</v>
      </c>
      <c r="B197" t="s">
        <v>536</v>
      </c>
      <c r="C197" t="s">
        <v>988</v>
      </c>
      <c r="D197" s="358">
        <v>1364.2097368421053</v>
      </c>
      <c r="E197" s="355">
        <v>0</v>
      </c>
      <c r="F197" s="358">
        <v>5037.0821052631572</v>
      </c>
      <c r="G197" s="358">
        <v>0</v>
      </c>
      <c r="H197" s="358">
        <v>494.71342105263159</v>
      </c>
      <c r="I197" s="358"/>
      <c r="J197" s="358">
        <v>6896.0052631578947</v>
      </c>
      <c r="K197" s="356"/>
      <c r="N197" t="s">
        <v>1000</v>
      </c>
    </row>
    <row r="198" spans="1:14" x14ac:dyDescent="0.25">
      <c r="A198" s="359" t="s">
        <v>539</v>
      </c>
      <c r="B198" t="s">
        <v>538</v>
      </c>
      <c r="C198" t="s">
        <v>991</v>
      </c>
      <c r="D198" s="358">
        <v>3679</v>
      </c>
      <c r="E198" s="355">
        <v>0</v>
      </c>
      <c r="F198" s="358">
        <v>8245.2631578947348</v>
      </c>
      <c r="G198" s="358">
        <v>0</v>
      </c>
      <c r="H198" s="358">
        <v>2959</v>
      </c>
      <c r="I198" s="358"/>
      <c r="J198" s="358">
        <v>14883.263157894735</v>
      </c>
      <c r="K198" s="356"/>
      <c r="N198" t="s">
        <v>1001</v>
      </c>
    </row>
    <row r="199" spans="1:14" x14ac:dyDescent="0.25">
      <c r="A199" s="359" t="s">
        <v>541</v>
      </c>
      <c r="B199" t="s">
        <v>540</v>
      </c>
      <c r="C199" t="s">
        <v>992</v>
      </c>
      <c r="D199" s="358">
        <v>2367.0331578947366</v>
      </c>
      <c r="E199" s="355">
        <v>0</v>
      </c>
      <c r="F199" s="358">
        <v>3270.8494736842104</v>
      </c>
      <c r="G199" s="358">
        <v>0</v>
      </c>
      <c r="H199" s="358">
        <v>2109.146947368421</v>
      </c>
      <c r="I199" s="358"/>
      <c r="J199" s="358">
        <v>7747.0295789473676</v>
      </c>
      <c r="K199" s="356"/>
      <c r="N199" t="s">
        <v>1002</v>
      </c>
    </row>
    <row r="200" spans="1:14" x14ac:dyDescent="0.25">
      <c r="A200" s="359" t="s">
        <v>543</v>
      </c>
      <c r="B200" t="s">
        <v>542</v>
      </c>
      <c r="C200" t="s">
        <v>993</v>
      </c>
      <c r="D200" s="358">
        <v>0</v>
      </c>
      <c r="E200" s="355">
        <v>0</v>
      </c>
      <c r="F200" s="358">
        <v>0</v>
      </c>
      <c r="G200" s="358">
        <v>0</v>
      </c>
      <c r="H200" s="358">
        <v>0</v>
      </c>
      <c r="I200" s="358"/>
      <c r="J200" s="358">
        <v>0</v>
      </c>
      <c r="K200" s="356"/>
      <c r="N200" t="s">
        <v>1003</v>
      </c>
    </row>
    <row r="201" spans="1:14" x14ac:dyDescent="0.25">
      <c r="A201" s="359" t="s">
        <v>545</v>
      </c>
      <c r="B201" t="s">
        <v>544</v>
      </c>
      <c r="C201" t="s">
        <v>994</v>
      </c>
      <c r="D201" s="358">
        <v>0</v>
      </c>
      <c r="E201" s="355">
        <v>0</v>
      </c>
      <c r="F201" s="358">
        <v>0</v>
      </c>
      <c r="G201" s="358">
        <v>0</v>
      </c>
      <c r="H201" s="358">
        <v>0</v>
      </c>
      <c r="I201" s="358"/>
      <c r="J201" s="358">
        <v>0</v>
      </c>
      <c r="K201" s="356"/>
      <c r="N201" t="s">
        <v>1004</v>
      </c>
    </row>
    <row r="202" spans="1:14" x14ac:dyDescent="0.25">
      <c r="A202" s="359" t="s">
        <v>547</v>
      </c>
      <c r="B202" t="s">
        <v>546</v>
      </c>
      <c r="C202" t="s">
        <v>995</v>
      </c>
      <c r="D202" s="358">
        <v>0</v>
      </c>
      <c r="E202" s="355">
        <v>0</v>
      </c>
      <c r="F202" s="358">
        <v>0</v>
      </c>
      <c r="G202" s="358">
        <v>0</v>
      </c>
      <c r="H202" s="358">
        <v>0</v>
      </c>
      <c r="I202" s="358"/>
      <c r="J202" s="358">
        <v>0</v>
      </c>
      <c r="K202" s="356"/>
      <c r="N202" t="s">
        <v>1005</v>
      </c>
    </row>
    <row r="203" spans="1:14" x14ac:dyDescent="0.25">
      <c r="A203" s="359" t="s">
        <v>996</v>
      </c>
      <c r="B203" t="s">
        <v>997</v>
      </c>
      <c r="C203" t="s">
        <v>997</v>
      </c>
      <c r="D203" s="358">
        <v>0</v>
      </c>
      <c r="E203" s="355">
        <v>0</v>
      </c>
      <c r="F203" s="358">
        <v>0</v>
      </c>
      <c r="G203" s="358">
        <v>0</v>
      </c>
      <c r="H203" s="358">
        <v>0</v>
      </c>
      <c r="I203" s="358"/>
      <c r="J203" s="358">
        <v>0</v>
      </c>
      <c r="K203" s="356"/>
      <c r="N203" t="s">
        <v>1007</v>
      </c>
    </row>
    <row r="204" spans="1:14" x14ac:dyDescent="0.25">
      <c r="A204" s="359" t="s">
        <v>550</v>
      </c>
      <c r="B204" t="s">
        <v>549</v>
      </c>
      <c r="C204" t="s">
        <v>998</v>
      </c>
      <c r="D204" s="358">
        <v>3892.747368421054</v>
      </c>
      <c r="E204" s="355">
        <v>0</v>
      </c>
      <c r="F204" s="358">
        <v>9696.3705263157881</v>
      </c>
      <c r="G204" s="358">
        <v>0</v>
      </c>
      <c r="H204" s="358">
        <v>2881.814736842106</v>
      </c>
      <c r="I204" s="358"/>
      <c r="J204" s="358">
        <v>16470.932631578948</v>
      </c>
      <c r="K204" s="356"/>
      <c r="N204" t="s">
        <v>1008</v>
      </c>
    </row>
    <row r="205" spans="1:14" x14ac:dyDescent="0.25">
      <c r="A205" s="359" t="s">
        <v>551</v>
      </c>
      <c r="B205" t="s">
        <v>999</v>
      </c>
      <c r="C205" t="s">
        <v>999</v>
      </c>
      <c r="D205" s="358">
        <v>3378.3339473684205</v>
      </c>
      <c r="E205" s="355">
        <v>0</v>
      </c>
      <c r="F205" s="358">
        <v>5765.1742105263156</v>
      </c>
      <c r="G205" s="358">
        <v>0</v>
      </c>
      <c r="H205" s="358">
        <v>3023.3471052631571</v>
      </c>
      <c r="I205" s="358"/>
      <c r="J205" s="358">
        <v>12166.855263157893</v>
      </c>
      <c r="K205" s="356"/>
      <c r="N205" t="s">
        <v>1009</v>
      </c>
    </row>
    <row r="206" spans="1:14" x14ac:dyDescent="0.25">
      <c r="A206" s="359" t="s">
        <v>553</v>
      </c>
      <c r="B206" t="s">
        <v>552</v>
      </c>
      <c r="C206" t="s">
        <v>1000</v>
      </c>
      <c r="D206" s="358">
        <v>4953</v>
      </c>
      <c r="E206" s="355">
        <v>0</v>
      </c>
      <c r="F206" s="358">
        <v>9653</v>
      </c>
      <c r="G206" s="358">
        <v>0</v>
      </c>
      <c r="H206" s="358">
        <v>3415.5</v>
      </c>
      <c r="I206" s="358"/>
      <c r="J206" s="358">
        <v>18021.5</v>
      </c>
      <c r="K206" s="356"/>
      <c r="N206" t="s">
        <v>1010</v>
      </c>
    </row>
    <row r="207" spans="1:14" x14ac:dyDescent="0.25">
      <c r="A207" s="359" t="s">
        <v>554</v>
      </c>
      <c r="B207">
        <v>206103</v>
      </c>
      <c r="C207" t="s">
        <v>1001</v>
      </c>
      <c r="D207" s="358">
        <v>0</v>
      </c>
      <c r="E207" s="355">
        <v>0</v>
      </c>
      <c r="F207" s="358">
        <v>0</v>
      </c>
      <c r="G207" s="358">
        <v>0</v>
      </c>
      <c r="H207" s="358">
        <v>0</v>
      </c>
      <c r="I207" s="358"/>
      <c r="J207" s="358">
        <v>0</v>
      </c>
      <c r="K207" s="356"/>
      <c r="N207" t="s">
        <v>1011</v>
      </c>
    </row>
    <row r="208" spans="1:14" x14ac:dyDescent="0.25">
      <c r="A208" s="359" t="s">
        <v>1366</v>
      </c>
      <c r="B208" t="s">
        <v>1367</v>
      </c>
      <c r="C208" t="s">
        <v>1367</v>
      </c>
      <c r="D208" s="358">
        <v>5473</v>
      </c>
      <c r="E208" s="355">
        <v>0</v>
      </c>
      <c r="F208" s="358">
        <v>10885</v>
      </c>
      <c r="G208" s="358">
        <v>0</v>
      </c>
      <c r="H208" s="358">
        <v>4537.5</v>
      </c>
      <c r="I208" s="358"/>
      <c r="J208" s="358">
        <v>20895.5</v>
      </c>
      <c r="K208" s="356"/>
      <c r="N208" t="s">
        <v>1012</v>
      </c>
    </row>
    <row r="209" spans="1:14" x14ac:dyDescent="0.25">
      <c r="A209" s="359" t="s">
        <v>555</v>
      </c>
      <c r="B209">
        <v>2614882</v>
      </c>
      <c r="C209" t="s">
        <v>1002</v>
      </c>
      <c r="D209" s="358">
        <v>8967.8447368421021</v>
      </c>
      <c r="E209" s="355">
        <v>0</v>
      </c>
      <c r="F209" s="358">
        <v>15536.756421052636</v>
      </c>
      <c r="G209" s="358">
        <v>0</v>
      </c>
      <c r="H209" s="358">
        <v>7221.1555263157888</v>
      </c>
      <c r="I209" s="358"/>
      <c r="J209" s="358">
        <v>31725.756684210526</v>
      </c>
      <c r="K209" s="356"/>
      <c r="N209" t="s">
        <v>1013</v>
      </c>
    </row>
    <row r="210" spans="1:14" x14ac:dyDescent="0.25">
      <c r="A210" s="359" t="s">
        <v>557</v>
      </c>
      <c r="B210" t="s">
        <v>556</v>
      </c>
      <c r="C210" t="s">
        <v>1003</v>
      </c>
      <c r="D210" s="358">
        <v>3136.5305263157898</v>
      </c>
      <c r="E210" s="355">
        <v>0</v>
      </c>
      <c r="F210" s="358">
        <v>5100.0452631578955</v>
      </c>
      <c r="G210" s="358">
        <v>0</v>
      </c>
      <c r="H210" s="358">
        <v>2220.6539473684211</v>
      </c>
      <c r="I210" s="358"/>
      <c r="J210" s="358">
        <v>10457.229736842106</v>
      </c>
      <c r="K210" s="356">
        <v>0</v>
      </c>
      <c r="N210">
        <v>0</v>
      </c>
    </row>
    <row r="211" spans="1:14" x14ac:dyDescent="0.25">
      <c r="A211" s="359" t="s">
        <v>560</v>
      </c>
      <c r="B211">
        <v>2498864</v>
      </c>
      <c r="C211" t="s">
        <v>1004</v>
      </c>
      <c r="D211" s="358">
        <v>4095</v>
      </c>
      <c r="E211" s="355">
        <v>0</v>
      </c>
      <c r="F211" s="358">
        <v>9868.6</v>
      </c>
      <c r="G211" s="358">
        <v>0</v>
      </c>
      <c r="H211" s="358">
        <v>4125</v>
      </c>
      <c r="I211" s="358"/>
      <c r="J211" s="358">
        <v>18088.599999999999</v>
      </c>
      <c r="K211" s="356">
        <v>0</v>
      </c>
      <c r="L211">
        <f t="shared" ref="L211" si="0">(L210/12)/15</f>
        <v>0</v>
      </c>
    </row>
    <row r="212" spans="1:14" x14ac:dyDescent="0.25">
      <c r="A212" s="359" t="s">
        <v>562</v>
      </c>
      <c r="B212" t="s">
        <v>561</v>
      </c>
      <c r="C212" t="s">
        <v>1005</v>
      </c>
      <c r="D212" s="358">
        <v>1300</v>
      </c>
      <c r="E212" s="355">
        <v>0</v>
      </c>
      <c r="F212" s="358">
        <v>3837.4736842105272</v>
      </c>
      <c r="G212" s="358">
        <v>0</v>
      </c>
      <c r="H212" s="358">
        <v>1760</v>
      </c>
      <c r="I212" s="358"/>
      <c r="J212" s="358">
        <v>6897.4736842105267</v>
      </c>
      <c r="K212" s="356"/>
      <c r="N212">
        <v>0</v>
      </c>
    </row>
    <row r="213" spans="1:14" x14ac:dyDescent="0.25">
      <c r="A213" s="359" t="s">
        <v>1006</v>
      </c>
      <c r="B213" t="s">
        <v>1007</v>
      </c>
      <c r="C213" t="s">
        <v>1007</v>
      </c>
      <c r="D213" s="358">
        <v>5395</v>
      </c>
      <c r="E213" s="355">
        <v>0</v>
      </c>
      <c r="F213" s="358">
        <v>15657.8947368421</v>
      </c>
      <c r="G213" s="358">
        <v>0</v>
      </c>
      <c r="H213" s="358">
        <v>4180</v>
      </c>
      <c r="I213" s="358"/>
      <c r="J213" s="358">
        <v>25232.8947368421</v>
      </c>
      <c r="K213" s="356"/>
      <c r="N213">
        <v>0</v>
      </c>
    </row>
    <row r="214" spans="1:14" x14ac:dyDescent="0.25">
      <c r="A214" s="359" t="s">
        <v>565</v>
      </c>
      <c r="B214" t="s">
        <v>564</v>
      </c>
      <c r="C214" t="s">
        <v>1008</v>
      </c>
      <c r="D214" s="358">
        <v>6206.9013157894751</v>
      </c>
      <c r="E214" s="355">
        <v>0</v>
      </c>
      <c r="F214" s="358">
        <v>10054.490526315789</v>
      </c>
      <c r="G214" s="358">
        <v>0</v>
      </c>
      <c r="H214" s="358">
        <v>4023.5365789473699</v>
      </c>
      <c r="I214" s="358"/>
      <c r="J214" s="358">
        <v>20284.928421052635</v>
      </c>
      <c r="K214" s="356"/>
    </row>
    <row r="215" spans="1:14" x14ac:dyDescent="0.25">
      <c r="A215" s="359" t="s">
        <v>567</v>
      </c>
      <c r="B215" t="s">
        <v>566</v>
      </c>
      <c r="C215" t="s">
        <v>1009</v>
      </c>
      <c r="D215" s="358">
        <v>0</v>
      </c>
      <c r="E215" s="355">
        <v>0</v>
      </c>
      <c r="F215" s="358">
        <v>210</v>
      </c>
      <c r="G215" s="358">
        <v>0</v>
      </c>
      <c r="H215" s="358">
        <v>0</v>
      </c>
      <c r="I215" s="358"/>
      <c r="J215" s="358">
        <v>210</v>
      </c>
      <c r="K215" s="356"/>
    </row>
    <row r="216" spans="1:14" x14ac:dyDescent="0.25">
      <c r="A216" s="359" t="s">
        <v>569</v>
      </c>
      <c r="B216" t="s">
        <v>568</v>
      </c>
      <c r="C216" t="s">
        <v>1010</v>
      </c>
      <c r="D216" s="358">
        <v>10465.906578947357</v>
      </c>
      <c r="E216" s="355">
        <v>0</v>
      </c>
      <c r="F216" s="358">
        <v>19927.484315789487</v>
      </c>
      <c r="G216" s="358">
        <v>0</v>
      </c>
      <c r="H216" s="358">
        <v>8072.977000000009</v>
      </c>
      <c r="I216" s="358"/>
      <c r="J216" s="358">
        <v>38466.367894736853</v>
      </c>
      <c r="K216" s="356"/>
    </row>
    <row r="217" spans="1:14" x14ac:dyDescent="0.25">
      <c r="A217" s="359" t="s">
        <v>570</v>
      </c>
      <c r="B217">
        <v>2568273</v>
      </c>
      <c r="C217" t="s">
        <v>1011</v>
      </c>
      <c r="D217" s="358">
        <v>0</v>
      </c>
      <c r="E217" s="355">
        <v>0</v>
      </c>
      <c r="F217" s="358">
        <v>0</v>
      </c>
      <c r="G217" s="358">
        <v>0</v>
      </c>
      <c r="H217" s="358">
        <v>0</v>
      </c>
      <c r="I217" s="358"/>
      <c r="J217" s="358">
        <v>0</v>
      </c>
      <c r="K217" s="356"/>
    </row>
    <row r="218" spans="1:14" x14ac:dyDescent="0.25">
      <c r="A218" s="359" t="s">
        <v>571</v>
      </c>
      <c r="B218">
        <v>509204</v>
      </c>
      <c r="C218" t="s">
        <v>1012</v>
      </c>
      <c r="D218" s="358">
        <v>4970.9297368421039</v>
      </c>
      <c r="E218" s="355">
        <v>0</v>
      </c>
      <c r="F218" s="358">
        <v>11245.312105263156</v>
      </c>
      <c r="G218" s="358">
        <v>0</v>
      </c>
      <c r="H218" s="358">
        <v>3381.6489473684201</v>
      </c>
      <c r="I218" s="358"/>
      <c r="J218" s="358">
        <v>19597.89078947368</v>
      </c>
      <c r="K218" s="356"/>
    </row>
    <row r="219" spans="1:14" x14ac:dyDescent="0.25">
      <c r="A219" s="359" t="s">
        <v>573</v>
      </c>
      <c r="B219" t="s">
        <v>572</v>
      </c>
      <c r="C219" t="s">
        <v>1013</v>
      </c>
      <c r="D219" s="358">
        <v>0</v>
      </c>
      <c r="E219" s="355">
        <v>0</v>
      </c>
      <c r="F219" s="358">
        <v>0</v>
      </c>
      <c r="G219" s="358">
        <v>0</v>
      </c>
      <c r="H219" s="358">
        <v>0</v>
      </c>
      <c r="I219" s="358"/>
      <c r="J219" s="358">
        <v>0</v>
      </c>
      <c r="K219" s="356"/>
    </row>
    <row r="220" spans="1:14" ht="15" thickBot="1" x14ac:dyDescent="0.4">
      <c r="A220" s="342" t="s">
        <v>601</v>
      </c>
      <c r="B220" s="343"/>
      <c r="C220" s="343"/>
      <c r="D220" s="365">
        <v>192412.59631578947</v>
      </c>
      <c r="E220" s="362">
        <v>0</v>
      </c>
      <c r="F220" s="365">
        <v>409423.3838947367</v>
      </c>
      <c r="G220" s="365">
        <v>0</v>
      </c>
      <c r="H220" s="365">
        <v>152338.86394736846</v>
      </c>
      <c r="I220" s="365">
        <v>0</v>
      </c>
      <c r="J220" s="365">
        <v>754174.84415789461</v>
      </c>
      <c r="K220" s="363"/>
      <c r="L220" s="343"/>
      <c r="M220" s="374"/>
    </row>
    <row r="221" spans="1:14" ht="15.5" thickTop="1" thickBot="1" x14ac:dyDescent="0.4">
      <c r="A221" s="342" t="s">
        <v>1014</v>
      </c>
      <c r="B221" s="343"/>
      <c r="C221" s="343"/>
      <c r="D221" s="371">
        <v>986.73126315789477</v>
      </c>
      <c r="E221" s="362">
        <v>0</v>
      </c>
      <c r="F221" s="371">
        <v>1949.6351614035082</v>
      </c>
      <c r="G221" s="371">
        <v>0</v>
      </c>
      <c r="H221" s="371">
        <v>923.26584210526346</v>
      </c>
      <c r="I221" s="371">
        <v>0</v>
      </c>
      <c r="J221" s="371">
        <v>1323.113761680517</v>
      </c>
      <c r="K221" s="363"/>
      <c r="L221" s="343"/>
      <c r="M221" s="374"/>
    </row>
    <row r="222" spans="1:14" ht="13" thickTop="1" x14ac:dyDescent="0.25"/>
    <row r="223" spans="1:14" ht="13" thickBot="1" x14ac:dyDescent="0.3"/>
    <row r="224" spans="1:14" ht="43.5" x14ac:dyDescent="0.35">
      <c r="C224" s="333" t="s">
        <v>1034</v>
      </c>
      <c r="D224" s="518">
        <v>363540.44999999995</v>
      </c>
      <c r="E224" s="518">
        <v>980913.87692307681</v>
      </c>
      <c r="F224" s="518">
        <v>391505.1</v>
      </c>
      <c r="G224" s="396"/>
      <c r="H224" s="518">
        <v>307611.14999999997</v>
      </c>
      <c r="I224" s="390"/>
      <c r="J224" s="381">
        <v>1062656.7</v>
      </c>
    </row>
    <row r="225" spans="3:10" ht="116.5" thickBot="1" x14ac:dyDescent="0.4">
      <c r="C225" s="383" t="s">
        <v>1046</v>
      </c>
      <c r="D225" s="392">
        <v>171127.85368421048</v>
      </c>
      <c r="E225" s="392">
        <v>980913.87692307681</v>
      </c>
      <c r="F225" s="392">
        <v>-17918.283894736727</v>
      </c>
      <c r="G225" s="392"/>
      <c r="H225" s="392">
        <v>155272.28605263151</v>
      </c>
      <c r="I225" s="372"/>
      <c r="J225" s="384">
        <v>308481.85584210523</v>
      </c>
    </row>
  </sheetData>
  <autoFilter ref="A4:N221" xr:uid="{9696C84A-0E20-4EEE-9200-B9380401005F}"/>
  <mergeCells count="1">
    <mergeCell ref="D3:K3"/>
  </mergeCells>
  <conditionalFormatting sqref="B1:B59 B61:B1048576">
    <cfRule type="duplicateValues" dxfId="6" priority="2"/>
  </conditionalFormatting>
  <conditionalFormatting sqref="B60">
    <cfRule type="duplicateValues" dxfId="5"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9A296-2817-486A-B6F9-9ECCAAB2AEB0}">
  <sheetPr codeName="Sheet19">
    <tabColor rgb="FFFF0000"/>
  </sheetPr>
  <dimension ref="A5:D265"/>
  <sheetViews>
    <sheetView topLeftCell="A29" workbookViewId="0"/>
  </sheetViews>
  <sheetFormatPr defaultRowHeight="12.5" x14ac:dyDescent="0.25"/>
  <cols>
    <col min="1" max="1" width="79.453125" customWidth="1"/>
    <col min="2" max="2" width="13.1796875" customWidth="1"/>
  </cols>
  <sheetData>
    <row r="5" spans="1:4" x14ac:dyDescent="0.25">
      <c r="A5" s="24" t="s">
        <v>757</v>
      </c>
      <c r="B5" s="26">
        <v>12345</v>
      </c>
      <c r="C5" s="26"/>
      <c r="D5" s="25">
        <v>6</v>
      </c>
    </row>
    <row r="6" spans="1:4" ht="13" x14ac:dyDescent="0.25">
      <c r="A6" s="27" t="s">
        <v>751</v>
      </c>
      <c r="B6" s="28" t="s">
        <v>60</v>
      </c>
      <c r="C6" s="25">
        <v>6</v>
      </c>
      <c r="D6" s="29">
        <v>6</v>
      </c>
    </row>
    <row r="7" spans="1:4" x14ac:dyDescent="0.25">
      <c r="A7" s="30" t="s">
        <v>328</v>
      </c>
      <c r="B7" s="31">
        <v>206189</v>
      </c>
      <c r="C7" s="31" t="s">
        <v>648</v>
      </c>
      <c r="D7" s="31">
        <v>4</v>
      </c>
    </row>
    <row r="8" spans="1:4" x14ac:dyDescent="0.25">
      <c r="A8" s="30" t="s">
        <v>97</v>
      </c>
      <c r="B8" s="31">
        <v>2014</v>
      </c>
      <c r="C8" s="31">
        <v>0</v>
      </c>
      <c r="D8" s="31">
        <v>0</v>
      </c>
    </row>
    <row r="9" spans="1:4" x14ac:dyDescent="0.25">
      <c r="A9" s="30" t="s">
        <v>95</v>
      </c>
      <c r="B9" s="31">
        <v>2012</v>
      </c>
      <c r="C9" s="31">
        <v>0</v>
      </c>
      <c r="D9" s="31">
        <v>0</v>
      </c>
    </row>
    <row r="10" spans="1:4" x14ac:dyDescent="0.25">
      <c r="A10" s="30" t="s">
        <v>148</v>
      </c>
      <c r="B10" s="31">
        <v>5414</v>
      </c>
      <c r="C10" s="31">
        <v>0</v>
      </c>
      <c r="D10" s="31">
        <v>0</v>
      </c>
    </row>
    <row r="11" spans="1:4" x14ac:dyDescent="0.25">
      <c r="A11" s="30" t="s">
        <v>329</v>
      </c>
      <c r="B11" s="31">
        <v>2579160</v>
      </c>
      <c r="C11" s="31" t="s">
        <v>588</v>
      </c>
      <c r="D11" s="31">
        <v>3</v>
      </c>
    </row>
    <row r="12" spans="1:4" x14ac:dyDescent="0.25">
      <c r="A12" s="30" t="s">
        <v>70</v>
      </c>
      <c r="B12" s="31">
        <v>2443</v>
      </c>
      <c r="C12" s="31" t="s">
        <v>603</v>
      </c>
      <c r="D12" s="31">
        <v>1</v>
      </c>
    </row>
    <row r="13" spans="1:4" x14ac:dyDescent="0.25">
      <c r="A13" s="30" t="s">
        <v>111</v>
      </c>
      <c r="B13" s="31">
        <v>2442</v>
      </c>
      <c r="C13" s="31">
        <v>0</v>
      </c>
      <c r="D13" s="31">
        <v>0</v>
      </c>
    </row>
    <row r="14" spans="1:4" x14ac:dyDescent="0.25">
      <c r="A14" s="30" t="s">
        <v>143</v>
      </c>
      <c r="B14" s="31">
        <v>4011</v>
      </c>
      <c r="C14" s="31">
        <v>0</v>
      </c>
      <c r="D14" s="31">
        <v>0</v>
      </c>
    </row>
    <row r="15" spans="1:4" x14ac:dyDescent="0.25">
      <c r="A15" s="30" t="s">
        <v>331</v>
      </c>
      <c r="B15" s="31" t="s">
        <v>330</v>
      </c>
      <c r="C15" s="31" t="s">
        <v>648</v>
      </c>
      <c r="D15" s="31">
        <v>4</v>
      </c>
    </row>
    <row r="16" spans="1:4" x14ac:dyDescent="0.25">
      <c r="A16" s="30" t="s">
        <v>123</v>
      </c>
      <c r="B16" s="31">
        <v>2629</v>
      </c>
      <c r="C16" s="31" t="s">
        <v>626</v>
      </c>
      <c r="D16" s="31">
        <v>1</v>
      </c>
    </row>
    <row r="17" spans="1:4" x14ac:dyDescent="0.25">
      <c r="A17" s="30" t="s">
        <v>120</v>
      </c>
      <c r="B17" s="31">
        <v>2509</v>
      </c>
      <c r="C17" s="31" t="s">
        <v>626</v>
      </c>
      <c r="D17" s="31">
        <v>1</v>
      </c>
    </row>
    <row r="18" spans="1:4" x14ac:dyDescent="0.25">
      <c r="A18" s="30" t="s">
        <v>321</v>
      </c>
      <c r="B18" s="31">
        <v>1014</v>
      </c>
      <c r="C18" s="31" t="s">
        <v>589</v>
      </c>
      <c r="D18" s="31">
        <v>2</v>
      </c>
    </row>
    <row r="19" spans="1:4" x14ac:dyDescent="0.25">
      <c r="A19" s="30" t="s">
        <v>63</v>
      </c>
      <c r="B19" s="31">
        <v>2005</v>
      </c>
      <c r="C19" s="31" t="s">
        <v>603</v>
      </c>
      <c r="D19" s="31">
        <v>0</v>
      </c>
    </row>
    <row r="20" spans="1:4" x14ac:dyDescent="0.25">
      <c r="A20" s="30" t="s">
        <v>103</v>
      </c>
      <c r="B20" s="31">
        <v>2021</v>
      </c>
      <c r="C20" s="31" t="s">
        <v>626</v>
      </c>
      <c r="D20" s="31">
        <v>1</v>
      </c>
    </row>
    <row r="21" spans="1:4" x14ac:dyDescent="0.25">
      <c r="A21" s="30" t="s">
        <v>116</v>
      </c>
      <c r="B21" s="31">
        <v>2464</v>
      </c>
      <c r="C21" s="31" t="s">
        <v>626</v>
      </c>
      <c r="D21" s="31">
        <v>1</v>
      </c>
    </row>
    <row r="22" spans="1:4" x14ac:dyDescent="0.25">
      <c r="A22" s="30" t="s">
        <v>88</v>
      </c>
      <c r="B22" s="31">
        <v>2004</v>
      </c>
      <c r="C22" s="31" t="s">
        <v>626</v>
      </c>
      <c r="D22" s="31">
        <v>1</v>
      </c>
    </row>
    <row r="23" spans="1:4" x14ac:dyDescent="0.25">
      <c r="A23" s="30" t="s">
        <v>64</v>
      </c>
      <c r="B23" s="31">
        <v>2405</v>
      </c>
      <c r="C23" s="31" t="s">
        <v>603</v>
      </c>
      <c r="D23" s="31">
        <v>1</v>
      </c>
    </row>
    <row r="24" spans="1:4" x14ac:dyDescent="0.25">
      <c r="A24" s="30" t="s">
        <v>165</v>
      </c>
      <c r="B24" s="31" t="s">
        <v>332</v>
      </c>
      <c r="C24" s="31" t="s">
        <v>648</v>
      </c>
      <c r="D24" s="31">
        <v>4</v>
      </c>
    </row>
    <row r="25" spans="1:4" x14ac:dyDescent="0.25">
      <c r="A25" s="30" t="s">
        <v>94</v>
      </c>
      <c r="B25" s="31">
        <v>2011</v>
      </c>
      <c r="C25" s="31" t="s">
        <v>626</v>
      </c>
      <c r="D25" s="31">
        <v>1</v>
      </c>
    </row>
    <row r="26" spans="1:4" x14ac:dyDescent="0.25">
      <c r="A26" s="30" t="s">
        <v>334</v>
      </c>
      <c r="B26" s="31" t="s">
        <v>333</v>
      </c>
      <c r="C26" s="31" t="s">
        <v>648</v>
      </c>
      <c r="D26" s="31">
        <v>4</v>
      </c>
    </row>
    <row r="27" spans="1:4" x14ac:dyDescent="0.25">
      <c r="A27" s="30" t="s">
        <v>135</v>
      </c>
      <c r="B27" s="31">
        <v>5201</v>
      </c>
      <c r="C27" s="31" t="s">
        <v>626</v>
      </c>
      <c r="D27" s="31">
        <v>1</v>
      </c>
    </row>
    <row r="28" spans="1:4" x14ac:dyDescent="0.25">
      <c r="A28" s="30" t="s">
        <v>335</v>
      </c>
      <c r="B28" s="31">
        <v>206124</v>
      </c>
      <c r="C28" s="31" t="s">
        <v>648</v>
      </c>
      <c r="D28" s="31">
        <v>4</v>
      </c>
    </row>
    <row r="29" spans="1:4" x14ac:dyDescent="0.25">
      <c r="A29" s="30" t="s">
        <v>108</v>
      </c>
      <c r="B29" s="31">
        <v>2026</v>
      </c>
      <c r="C29" s="31" t="s">
        <v>626</v>
      </c>
      <c r="D29" s="31">
        <v>1</v>
      </c>
    </row>
    <row r="30" spans="1:4" x14ac:dyDescent="0.25">
      <c r="A30" s="30" t="s">
        <v>337</v>
      </c>
      <c r="B30" s="31" t="s">
        <v>336</v>
      </c>
      <c r="C30" s="31" t="s">
        <v>648</v>
      </c>
      <c r="D30" s="31">
        <v>4</v>
      </c>
    </row>
    <row r="31" spans="1:4" x14ac:dyDescent="0.25">
      <c r="A31" s="30" t="s">
        <v>100</v>
      </c>
      <c r="B31" s="31">
        <v>2018</v>
      </c>
      <c r="C31" s="31" t="s">
        <v>626</v>
      </c>
      <c r="D31" s="31">
        <v>1</v>
      </c>
    </row>
    <row r="32" spans="1:4" x14ac:dyDescent="0.25">
      <c r="A32" s="23" t="s">
        <v>155</v>
      </c>
      <c r="B32" s="285" t="s">
        <v>267</v>
      </c>
      <c r="C32" s="287">
        <v>0</v>
      </c>
      <c r="D32" s="31">
        <v>0</v>
      </c>
    </row>
    <row r="33" spans="1:4" x14ac:dyDescent="0.25">
      <c r="A33" s="30" t="s">
        <v>121</v>
      </c>
      <c r="B33" s="31">
        <v>2512</v>
      </c>
      <c r="C33" s="31" t="s">
        <v>626</v>
      </c>
      <c r="D33" s="31">
        <v>1</v>
      </c>
    </row>
    <row r="34" spans="1:4" x14ac:dyDescent="0.25">
      <c r="A34" s="30" t="s">
        <v>338</v>
      </c>
      <c r="B34" s="31">
        <v>206126</v>
      </c>
      <c r="C34" s="31" t="s">
        <v>648</v>
      </c>
      <c r="D34" s="31">
        <v>4</v>
      </c>
    </row>
    <row r="35" spans="1:4" x14ac:dyDescent="0.25">
      <c r="A35" s="30" t="s">
        <v>339</v>
      </c>
      <c r="B35" s="31">
        <v>206111</v>
      </c>
      <c r="C35" s="31" t="s">
        <v>588</v>
      </c>
      <c r="D35" s="31">
        <v>3</v>
      </c>
    </row>
    <row r="36" spans="1:4" x14ac:dyDescent="0.25">
      <c r="A36" s="30" t="s">
        <v>340</v>
      </c>
      <c r="B36" s="31">
        <v>206091</v>
      </c>
      <c r="C36" s="31" t="s">
        <v>588</v>
      </c>
      <c r="D36" s="31">
        <v>3</v>
      </c>
    </row>
    <row r="37" spans="1:4" x14ac:dyDescent="0.25">
      <c r="A37" s="30" t="s">
        <v>114</v>
      </c>
      <c r="B37" s="31">
        <v>2456</v>
      </c>
      <c r="C37" s="31" t="s">
        <v>626</v>
      </c>
      <c r="D37" s="31">
        <v>1</v>
      </c>
    </row>
    <row r="38" spans="1:4" x14ac:dyDescent="0.25">
      <c r="A38" s="30" t="s">
        <v>109</v>
      </c>
      <c r="B38" s="31">
        <v>2027</v>
      </c>
      <c r="C38" s="31" t="s">
        <v>626</v>
      </c>
      <c r="D38" s="31">
        <v>1</v>
      </c>
    </row>
    <row r="39" spans="1:4" x14ac:dyDescent="0.25">
      <c r="A39" s="30" t="s">
        <v>72</v>
      </c>
      <c r="B39" s="31">
        <v>2449</v>
      </c>
      <c r="C39" s="31" t="s">
        <v>603</v>
      </c>
      <c r="D39" s="31">
        <v>1</v>
      </c>
    </row>
    <row r="40" spans="1:4" x14ac:dyDescent="0.25">
      <c r="A40" s="30" t="s">
        <v>101</v>
      </c>
      <c r="B40" s="31">
        <v>2019</v>
      </c>
      <c r="C40" s="31">
        <v>0</v>
      </c>
      <c r="D40" s="31">
        <v>0</v>
      </c>
    </row>
    <row r="41" spans="1:4" x14ac:dyDescent="0.25">
      <c r="A41" s="30" t="s">
        <v>322</v>
      </c>
      <c r="B41" s="31">
        <v>1006</v>
      </c>
      <c r="C41" s="31" t="s">
        <v>589</v>
      </c>
      <c r="D41" s="31">
        <v>2</v>
      </c>
    </row>
    <row r="42" spans="1:4" x14ac:dyDescent="0.25">
      <c r="A42" s="30" t="s">
        <v>118</v>
      </c>
      <c r="B42" s="31">
        <v>2467</v>
      </c>
      <c r="C42" s="31" t="s">
        <v>626</v>
      </c>
      <c r="D42" s="31">
        <v>1</v>
      </c>
    </row>
    <row r="43" spans="1:4" x14ac:dyDescent="0.25">
      <c r="A43" s="30" t="s">
        <v>144</v>
      </c>
      <c r="B43" s="31">
        <v>4012</v>
      </c>
      <c r="C43" s="31">
        <v>0</v>
      </c>
      <c r="D43" s="31">
        <v>0</v>
      </c>
    </row>
    <row r="44" spans="1:4" x14ac:dyDescent="0.25">
      <c r="A44" s="30" t="s">
        <v>113</v>
      </c>
      <c r="B44" s="31">
        <v>2455</v>
      </c>
      <c r="C44" s="31">
        <v>0</v>
      </c>
      <c r="D44" s="31">
        <v>0</v>
      </c>
    </row>
    <row r="45" spans="1:4" x14ac:dyDescent="0.25">
      <c r="A45" s="30" t="s">
        <v>136</v>
      </c>
      <c r="B45" s="31">
        <v>5203</v>
      </c>
      <c r="C45" s="31">
        <v>0</v>
      </c>
      <c r="D45" s="31">
        <v>0</v>
      </c>
    </row>
    <row r="46" spans="1:4" x14ac:dyDescent="0.25">
      <c r="A46" s="30" t="s">
        <v>112</v>
      </c>
      <c r="B46" s="31">
        <v>2451</v>
      </c>
      <c r="C46" s="31" t="s">
        <v>626</v>
      </c>
      <c r="D46" s="31">
        <v>1</v>
      </c>
    </row>
    <row r="47" spans="1:4" x14ac:dyDescent="0.25">
      <c r="A47" s="30" t="s">
        <v>485</v>
      </c>
      <c r="B47" s="31" t="s">
        <v>484</v>
      </c>
      <c r="C47" s="31" t="s">
        <v>588</v>
      </c>
      <c r="D47" s="31">
        <v>3</v>
      </c>
    </row>
    <row r="48" spans="1:4" x14ac:dyDescent="0.25">
      <c r="A48" s="30" t="s">
        <v>341</v>
      </c>
      <c r="B48" s="31">
        <v>206128</v>
      </c>
      <c r="C48" s="31" t="s">
        <v>588</v>
      </c>
      <c r="D48" s="31">
        <v>3</v>
      </c>
    </row>
    <row r="49" spans="1:4" x14ac:dyDescent="0.25">
      <c r="A49" s="30" t="s">
        <v>141</v>
      </c>
      <c r="B49" s="31">
        <v>4008</v>
      </c>
      <c r="C49" s="31">
        <v>0</v>
      </c>
      <c r="D49" s="31">
        <v>0</v>
      </c>
    </row>
    <row r="50" spans="1:4" x14ac:dyDescent="0.25">
      <c r="A50" s="30" t="s">
        <v>105</v>
      </c>
      <c r="B50" s="31">
        <v>2023</v>
      </c>
      <c r="C50" s="31" t="s">
        <v>626</v>
      </c>
      <c r="D50" s="31">
        <v>1</v>
      </c>
    </row>
    <row r="51" spans="1:4" x14ac:dyDescent="0.25">
      <c r="A51" s="30" t="s">
        <v>140</v>
      </c>
      <c r="B51" s="31">
        <v>4007</v>
      </c>
      <c r="C51" s="31">
        <v>0</v>
      </c>
      <c r="D51" s="31">
        <v>0</v>
      </c>
    </row>
    <row r="52" spans="1:4" x14ac:dyDescent="0.25">
      <c r="A52" s="30" t="s">
        <v>65</v>
      </c>
      <c r="B52" s="31">
        <v>2409</v>
      </c>
      <c r="C52" s="31" t="s">
        <v>603</v>
      </c>
      <c r="D52" s="31">
        <v>0</v>
      </c>
    </row>
    <row r="53" spans="1:4" x14ac:dyDescent="0.25">
      <c r="A53" s="30" t="s">
        <v>578</v>
      </c>
      <c r="B53" s="31">
        <v>2682783</v>
      </c>
      <c r="C53" s="31" t="s">
        <v>588</v>
      </c>
      <c r="D53" s="31">
        <v>3</v>
      </c>
    </row>
    <row r="54" spans="1:4" x14ac:dyDescent="0.25">
      <c r="A54" s="30" t="s">
        <v>137</v>
      </c>
      <c r="B54" s="31">
        <v>4004</v>
      </c>
      <c r="C54" s="31">
        <v>0</v>
      </c>
      <c r="D54" s="31">
        <v>0</v>
      </c>
    </row>
    <row r="55" spans="1:4" x14ac:dyDescent="0.25">
      <c r="A55" s="30" t="s">
        <v>357</v>
      </c>
      <c r="B55" s="31" t="s">
        <v>356</v>
      </c>
      <c r="C55" s="31" t="s">
        <v>588</v>
      </c>
      <c r="D55" s="31">
        <v>3</v>
      </c>
    </row>
    <row r="56" spans="1:4" x14ac:dyDescent="0.25">
      <c r="A56" s="30" t="s">
        <v>342</v>
      </c>
      <c r="B56" s="31">
        <v>205999</v>
      </c>
      <c r="C56" s="31" t="s">
        <v>588</v>
      </c>
      <c r="D56" s="31">
        <v>3</v>
      </c>
    </row>
    <row r="57" spans="1:4" x14ac:dyDescent="0.25">
      <c r="A57" s="30" t="s">
        <v>344</v>
      </c>
      <c r="B57" s="31" t="s">
        <v>343</v>
      </c>
      <c r="C57" s="31" t="s">
        <v>588</v>
      </c>
      <c r="D57" s="31">
        <v>3</v>
      </c>
    </row>
    <row r="58" spans="1:4" x14ac:dyDescent="0.25">
      <c r="A58" s="30" t="s">
        <v>346</v>
      </c>
      <c r="B58" s="31" t="s">
        <v>345</v>
      </c>
      <c r="C58" s="31" t="s">
        <v>588</v>
      </c>
      <c r="D58" s="31">
        <v>3</v>
      </c>
    </row>
    <row r="59" spans="1:4" x14ac:dyDescent="0.25">
      <c r="A59" s="30" t="s">
        <v>347</v>
      </c>
      <c r="B59" s="31">
        <v>205921</v>
      </c>
      <c r="C59" s="31" t="s">
        <v>588</v>
      </c>
      <c r="D59" s="31">
        <v>3</v>
      </c>
    </row>
    <row r="60" spans="1:4" x14ac:dyDescent="0.25">
      <c r="A60" s="30" t="s">
        <v>348</v>
      </c>
      <c r="B60" s="31">
        <v>206011</v>
      </c>
      <c r="C60" s="31" t="s">
        <v>588</v>
      </c>
      <c r="D60" s="31">
        <v>3</v>
      </c>
    </row>
    <row r="61" spans="1:4" x14ac:dyDescent="0.25">
      <c r="A61" s="30" t="s">
        <v>349</v>
      </c>
      <c r="B61" s="31">
        <v>2723862</v>
      </c>
      <c r="C61" s="31" t="s">
        <v>588</v>
      </c>
      <c r="D61" s="31">
        <v>3</v>
      </c>
    </row>
    <row r="62" spans="1:4" x14ac:dyDescent="0.25">
      <c r="A62" s="30" t="s">
        <v>351</v>
      </c>
      <c r="B62" s="31" t="s">
        <v>350</v>
      </c>
      <c r="C62" s="31" t="s">
        <v>588</v>
      </c>
      <c r="D62" s="31">
        <v>3</v>
      </c>
    </row>
    <row r="63" spans="1:4" x14ac:dyDescent="0.25">
      <c r="A63" s="30" t="s">
        <v>353</v>
      </c>
      <c r="B63" s="31" t="s">
        <v>352</v>
      </c>
      <c r="C63" s="31" t="s">
        <v>588</v>
      </c>
      <c r="D63" s="31">
        <v>3</v>
      </c>
    </row>
    <row r="64" spans="1:4" x14ac:dyDescent="0.25">
      <c r="A64" s="30" t="s">
        <v>355</v>
      </c>
      <c r="B64" s="31" t="s">
        <v>354</v>
      </c>
      <c r="C64" s="31" t="s">
        <v>588</v>
      </c>
      <c r="D64" s="31">
        <v>3</v>
      </c>
    </row>
    <row r="65" spans="1:4" x14ac:dyDescent="0.25">
      <c r="A65" s="30" t="s">
        <v>358</v>
      </c>
      <c r="B65" s="31">
        <v>2549324</v>
      </c>
      <c r="C65" s="31" t="s">
        <v>588</v>
      </c>
      <c r="D65" s="31">
        <v>3</v>
      </c>
    </row>
    <row r="66" spans="1:4" x14ac:dyDescent="0.25">
      <c r="A66" s="30" t="s">
        <v>361</v>
      </c>
      <c r="B66" s="31">
        <v>2519477</v>
      </c>
      <c r="C66" s="31" t="s">
        <v>588</v>
      </c>
      <c r="D66" s="31">
        <v>3</v>
      </c>
    </row>
    <row r="67" spans="1:4" x14ac:dyDescent="0.25">
      <c r="A67" s="30" t="s">
        <v>360</v>
      </c>
      <c r="B67" s="31" t="s">
        <v>359</v>
      </c>
      <c r="C67" s="31" t="s">
        <v>588</v>
      </c>
      <c r="D67" s="31">
        <v>3</v>
      </c>
    </row>
    <row r="68" spans="1:4" x14ac:dyDescent="0.25">
      <c r="A68" s="30" t="s">
        <v>363</v>
      </c>
      <c r="B68" s="31" t="s">
        <v>362</v>
      </c>
      <c r="C68" s="31" t="s">
        <v>588</v>
      </c>
      <c r="D68" s="31">
        <v>3</v>
      </c>
    </row>
    <row r="69" spans="1:4" x14ac:dyDescent="0.25">
      <c r="A69" s="30" t="s">
        <v>365</v>
      </c>
      <c r="B69" s="31" t="s">
        <v>364</v>
      </c>
      <c r="C69" s="31" t="s">
        <v>588</v>
      </c>
      <c r="D69" s="31">
        <v>3</v>
      </c>
    </row>
    <row r="70" spans="1:4" x14ac:dyDescent="0.25">
      <c r="A70" s="30" t="s">
        <v>366</v>
      </c>
      <c r="B70" s="31">
        <v>205852</v>
      </c>
      <c r="C70" s="31" t="s">
        <v>588</v>
      </c>
      <c r="D70" s="31">
        <v>3</v>
      </c>
    </row>
    <row r="71" spans="1:4" x14ac:dyDescent="0.25">
      <c r="A71" s="30" t="s">
        <v>367</v>
      </c>
      <c r="B71" s="31">
        <v>205902</v>
      </c>
      <c r="C71" s="31" t="s">
        <v>588</v>
      </c>
      <c r="D71" s="31">
        <v>3</v>
      </c>
    </row>
    <row r="72" spans="1:4" x14ac:dyDescent="0.25">
      <c r="A72" s="30" t="s">
        <v>368</v>
      </c>
      <c r="B72" s="31">
        <v>205922</v>
      </c>
      <c r="C72" s="31" t="s">
        <v>588</v>
      </c>
      <c r="D72" s="31">
        <v>3</v>
      </c>
    </row>
    <row r="73" spans="1:4" x14ac:dyDescent="0.25">
      <c r="A73" s="30" t="s">
        <v>370</v>
      </c>
      <c r="B73" s="31" t="s">
        <v>369</v>
      </c>
      <c r="C73" s="31" t="s">
        <v>588</v>
      </c>
      <c r="D73" s="31">
        <v>3</v>
      </c>
    </row>
    <row r="74" spans="1:4" x14ac:dyDescent="0.25">
      <c r="A74" s="30" t="s">
        <v>372</v>
      </c>
      <c r="B74" s="31" t="s">
        <v>371</v>
      </c>
      <c r="C74" s="31" t="s">
        <v>588</v>
      </c>
      <c r="D74" s="31">
        <v>3</v>
      </c>
    </row>
    <row r="75" spans="1:4" x14ac:dyDescent="0.25">
      <c r="A75" s="30" t="s">
        <v>373</v>
      </c>
      <c r="B75" s="31">
        <v>205947</v>
      </c>
      <c r="C75" s="31" t="s">
        <v>588</v>
      </c>
      <c r="D75" s="31">
        <v>3</v>
      </c>
    </row>
    <row r="76" spans="1:4" x14ac:dyDescent="0.25">
      <c r="A76" s="30" t="s">
        <v>374</v>
      </c>
      <c r="B76" s="31">
        <v>205919</v>
      </c>
      <c r="C76" s="31" t="s">
        <v>588</v>
      </c>
      <c r="D76" s="31">
        <v>3</v>
      </c>
    </row>
    <row r="77" spans="1:4" x14ac:dyDescent="0.25">
      <c r="A77" s="30" t="s">
        <v>376</v>
      </c>
      <c r="B77" s="31" t="s">
        <v>375</v>
      </c>
      <c r="C77" s="31" t="s">
        <v>588</v>
      </c>
      <c r="D77" s="31">
        <v>3</v>
      </c>
    </row>
    <row r="78" spans="1:4" x14ac:dyDescent="0.25">
      <c r="A78" s="30" t="s">
        <v>769</v>
      </c>
      <c r="B78" s="31" t="s">
        <v>379</v>
      </c>
      <c r="C78" s="31" t="s">
        <v>588</v>
      </c>
      <c r="D78" s="31">
        <v>3</v>
      </c>
    </row>
    <row r="79" spans="1:4" x14ac:dyDescent="0.25">
      <c r="A79" s="30" t="s">
        <v>378</v>
      </c>
      <c r="B79" s="31" t="s">
        <v>377</v>
      </c>
      <c r="C79" s="31" t="s">
        <v>588</v>
      </c>
      <c r="D79" s="31">
        <v>3</v>
      </c>
    </row>
    <row r="80" spans="1:4" x14ac:dyDescent="0.25">
      <c r="A80" s="30" t="s">
        <v>381</v>
      </c>
      <c r="B80" s="31">
        <v>205879</v>
      </c>
      <c r="C80" s="31" t="s">
        <v>588</v>
      </c>
      <c r="D80" s="31">
        <v>3</v>
      </c>
    </row>
    <row r="81" spans="1:4" x14ac:dyDescent="0.25">
      <c r="A81" s="30" t="s">
        <v>383</v>
      </c>
      <c r="B81" s="31" t="s">
        <v>382</v>
      </c>
      <c r="C81" s="31" t="s">
        <v>588</v>
      </c>
      <c r="D81" s="31">
        <v>3</v>
      </c>
    </row>
    <row r="82" spans="1:4" x14ac:dyDescent="0.25">
      <c r="A82" s="30" t="s">
        <v>385</v>
      </c>
      <c r="B82" s="31" t="s">
        <v>384</v>
      </c>
      <c r="C82" s="31" t="s">
        <v>588</v>
      </c>
      <c r="D82" s="31">
        <v>3</v>
      </c>
    </row>
    <row r="83" spans="1:4" x14ac:dyDescent="0.25">
      <c r="A83" s="30" t="s">
        <v>387</v>
      </c>
      <c r="B83" s="31" t="s">
        <v>386</v>
      </c>
      <c r="C83" s="31" t="s">
        <v>588</v>
      </c>
      <c r="D83" s="31">
        <v>3</v>
      </c>
    </row>
    <row r="84" spans="1:4" x14ac:dyDescent="0.25">
      <c r="A84" s="30" t="s">
        <v>389</v>
      </c>
      <c r="B84" s="31" t="s">
        <v>388</v>
      </c>
      <c r="C84" s="31" t="s">
        <v>588</v>
      </c>
      <c r="D84" s="31">
        <v>3</v>
      </c>
    </row>
    <row r="85" spans="1:4" x14ac:dyDescent="0.25">
      <c r="A85" s="30" t="s">
        <v>390</v>
      </c>
      <c r="B85" s="31">
        <v>2617229</v>
      </c>
      <c r="C85" s="31" t="s">
        <v>588</v>
      </c>
      <c r="D85" s="31">
        <v>3</v>
      </c>
    </row>
    <row r="86" spans="1:4" x14ac:dyDescent="0.25">
      <c r="A86" s="30" t="s">
        <v>391</v>
      </c>
      <c r="B86" s="31">
        <v>2690888</v>
      </c>
      <c r="C86" s="31" t="s">
        <v>588</v>
      </c>
      <c r="D86" s="31">
        <v>3</v>
      </c>
    </row>
    <row r="87" spans="1:4" x14ac:dyDescent="0.25">
      <c r="A87" s="30" t="s">
        <v>392</v>
      </c>
      <c r="B87" s="31">
        <v>2709812</v>
      </c>
      <c r="C87" s="31" t="s">
        <v>588</v>
      </c>
      <c r="D87" s="31">
        <v>3</v>
      </c>
    </row>
    <row r="88" spans="1:4" x14ac:dyDescent="0.25">
      <c r="A88" s="30" t="s">
        <v>393</v>
      </c>
      <c r="B88" s="31">
        <v>2559906</v>
      </c>
      <c r="C88" s="31" t="s">
        <v>588</v>
      </c>
      <c r="D88" s="31">
        <v>3</v>
      </c>
    </row>
    <row r="89" spans="1:4" x14ac:dyDescent="0.25">
      <c r="A89" s="30" t="s">
        <v>395</v>
      </c>
      <c r="B89" s="31" t="s">
        <v>394</v>
      </c>
      <c r="C89" s="31" t="s">
        <v>588</v>
      </c>
      <c r="D89" s="31">
        <v>3</v>
      </c>
    </row>
    <row r="90" spans="1:4" x14ac:dyDescent="0.25">
      <c r="A90" s="30" t="s">
        <v>396</v>
      </c>
      <c r="B90" s="31">
        <v>2562992</v>
      </c>
      <c r="C90" s="31" t="s">
        <v>588</v>
      </c>
      <c r="D90" s="31">
        <v>3</v>
      </c>
    </row>
    <row r="91" spans="1:4" x14ac:dyDescent="0.25">
      <c r="A91" s="30" t="s">
        <v>398</v>
      </c>
      <c r="B91" s="31" t="s">
        <v>397</v>
      </c>
      <c r="C91" s="31" t="s">
        <v>588</v>
      </c>
      <c r="D91" s="31">
        <v>3</v>
      </c>
    </row>
    <row r="92" spans="1:4" x14ac:dyDescent="0.25">
      <c r="A92" s="30" t="s">
        <v>400</v>
      </c>
      <c r="B92" s="31" t="s">
        <v>399</v>
      </c>
      <c r="C92" s="31" t="s">
        <v>588</v>
      </c>
      <c r="D92" s="31">
        <v>3</v>
      </c>
    </row>
    <row r="93" spans="1:4" x14ac:dyDescent="0.25">
      <c r="A93" s="30" t="s">
        <v>401</v>
      </c>
      <c r="B93" s="31">
        <v>205881</v>
      </c>
      <c r="C93" s="31" t="s">
        <v>588</v>
      </c>
      <c r="D93" s="31">
        <v>3</v>
      </c>
    </row>
    <row r="94" spans="1:4" x14ac:dyDescent="0.25">
      <c r="A94" s="30" t="s">
        <v>403</v>
      </c>
      <c r="B94" s="31" t="s">
        <v>402</v>
      </c>
      <c r="C94" s="31" t="s">
        <v>588</v>
      </c>
      <c r="D94" s="31">
        <v>3</v>
      </c>
    </row>
    <row r="95" spans="1:4" x14ac:dyDescent="0.25">
      <c r="A95" s="30" t="s">
        <v>770</v>
      </c>
      <c r="B95" s="31" t="s">
        <v>404</v>
      </c>
      <c r="C95" s="31" t="s">
        <v>588</v>
      </c>
      <c r="D95" s="31">
        <v>3</v>
      </c>
    </row>
    <row r="96" spans="1:4" x14ac:dyDescent="0.25">
      <c r="A96" s="30" t="s">
        <v>407</v>
      </c>
      <c r="B96" s="31" t="s">
        <v>406</v>
      </c>
      <c r="C96" s="261" t="s">
        <v>588</v>
      </c>
      <c r="D96" s="261">
        <v>3</v>
      </c>
    </row>
    <row r="97" spans="1:4" x14ac:dyDescent="0.25">
      <c r="A97" s="30" t="s">
        <v>408</v>
      </c>
      <c r="B97" s="31">
        <v>2575281</v>
      </c>
      <c r="C97" s="261" t="s">
        <v>588</v>
      </c>
      <c r="D97" s="261">
        <v>3</v>
      </c>
    </row>
    <row r="98" spans="1:4" x14ac:dyDescent="0.25">
      <c r="A98" s="30" t="s">
        <v>410</v>
      </c>
      <c r="B98" s="31" t="s">
        <v>409</v>
      </c>
      <c r="C98" s="261" t="s">
        <v>588</v>
      </c>
      <c r="D98" s="261">
        <v>3</v>
      </c>
    </row>
    <row r="99" spans="1:4" x14ac:dyDescent="0.25">
      <c r="A99" s="30" t="s">
        <v>411</v>
      </c>
      <c r="B99" s="31">
        <v>306845</v>
      </c>
      <c r="C99" s="261" t="s">
        <v>588</v>
      </c>
      <c r="D99" s="261">
        <v>3</v>
      </c>
    </row>
    <row r="100" spans="1:4" x14ac:dyDescent="0.25">
      <c r="A100" s="30" t="s">
        <v>412</v>
      </c>
      <c r="B100" s="31">
        <v>2518126</v>
      </c>
      <c r="C100" s="261" t="s">
        <v>588</v>
      </c>
      <c r="D100" s="261">
        <v>3</v>
      </c>
    </row>
    <row r="101" spans="1:4" x14ac:dyDescent="0.25">
      <c r="A101" s="30" t="s">
        <v>414</v>
      </c>
      <c r="B101" s="31" t="s">
        <v>413</v>
      </c>
      <c r="C101" s="261" t="s">
        <v>588</v>
      </c>
      <c r="D101" s="261">
        <v>3</v>
      </c>
    </row>
    <row r="102" spans="1:4" x14ac:dyDescent="0.25">
      <c r="A102" s="30" t="s">
        <v>416</v>
      </c>
      <c r="B102" s="31" t="s">
        <v>415</v>
      </c>
      <c r="C102" s="261" t="s">
        <v>588</v>
      </c>
      <c r="D102" s="261">
        <v>3</v>
      </c>
    </row>
    <row r="103" spans="1:4" x14ac:dyDescent="0.25">
      <c r="A103" s="30" t="s">
        <v>420</v>
      </c>
      <c r="B103" s="31" t="s">
        <v>419</v>
      </c>
      <c r="C103" s="261" t="s">
        <v>588</v>
      </c>
      <c r="D103" s="261">
        <v>3</v>
      </c>
    </row>
    <row r="104" spans="1:4" x14ac:dyDescent="0.25">
      <c r="A104" s="30" t="s">
        <v>418</v>
      </c>
      <c r="B104" s="31" t="s">
        <v>417</v>
      </c>
      <c r="C104" s="261" t="s">
        <v>588</v>
      </c>
      <c r="D104" s="261">
        <v>3</v>
      </c>
    </row>
    <row r="105" spans="1:4" x14ac:dyDescent="0.25">
      <c r="A105" s="30" t="s">
        <v>421</v>
      </c>
      <c r="B105" s="31">
        <v>205878</v>
      </c>
      <c r="C105" s="261" t="s">
        <v>588</v>
      </c>
      <c r="D105" s="261">
        <v>3</v>
      </c>
    </row>
    <row r="106" spans="1:4" x14ac:dyDescent="0.25">
      <c r="A106" s="30" t="s">
        <v>426</v>
      </c>
      <c r="B106" s="31">
        <v>2675728</v>
      </c>
      <c r="C106" s="261" t="s">
        <v>588</v>
      </c>
      <c r="D106" s="261">
        <v>3</v>
      </c>
    </row>
    <row r="107" spans="1:4" x14ac:dyDescent="0.25">
      <c r="A107" s="30" t="s">
        <v>423</v>
      </c>
      <c r="B107" s="31" t="s">
        <v>422</v>
      </c>
      <c r="C107" s="261" t="s">
        <v>588</v>
      </c>
      <c r="D107" s="261">
        <v>3</v>
      </c>
    </row>
    <row r="108" spans="1:4" x14ac:dyDescent="0.25">
      <c r="A108" s="30" t="s">
        <v>427</v>
      </c>
      <c r="B108" s="31">
        <v>2578607</v>
      </c>
      <c r="C108" s="261" t="s">
        <v>588</v>
      </c>
      <c r="D108" s="261">
        <v>3</v>
      </c>
    </row>
    <row r="109" spans="1:4" x14ac:dyDescent="0.25">
      <c r="A109" s="30" t="s">
        <v>425</v>
      </c>
      <c r="B109" s="31" t="s">
        <v>424</v>
      </c>
      <c r="C109" s="261" t="s">
        <v>588</v>
      </c>
      <c r="D109" s="261">
        <v>3</v>
      </c>
    </row>
    <row r="110" spans="1:4" x14ac:dyDescent="0.25">
      <c r="A110" s="30" t="s">
        <v>429</v>
      </c>
      <c r="B110" s="31" t="s">
        <v>428</v>
      </c>
      <c r="C110" s="261" t="s">
        <v>588</v>
      </c>
      <c r="D110" s="261">
        <v>3</v>
      </c>
    </row>
    <row r="111" spans="1:4" x14ac:dyDescent="0.25">
      <c r="A111" s="30" t="s">
        <v>431</v>
      </c>
      <c r="B111" s="31" t="s">
        <v>430</v>
      </c>
      <c r="C111" s="261" t="s">
        <v>588</v>
      </c>
      <c r="D111" s="261">
        <v>3</v>
      </c>
    </row>
    <row r="112" spans="1:4" x14ac:dyDescent="0.25">
      <c r="A112" s="30" t="s">
        <v>433</v>
      </c>
      <c r="B112" s="31" t="s">
        <v>432</v>
      </c>
      <c r="C112" s="261" t="s">
        <v>588</v>
      </c>
      <c r="D112" s="261">
        <v>3</v>
      </c>
    </row>
    <row r="113" spans="1:4" x14ac:dyDescent="0.25">
      <c r="A113" s="30" t="s">
        <v>435</v>
      </c>
      <c r="B113" s="31" t="s">
        <v>434</v>
      </c>
      <c r="C113" s="261" t="s">
        <v>588</v>
      </c>
      <c r="D113" s="261">
        <v>3</v>
      </c>
    </row>
    <row r="114" spans="1:4" x14ac:dyDescent="0.25">
      <c r="A114" s="30" t="s">
        <v>437</v>
      </c>
      <c r="B114" s="31" t="s">
        <v>436</v>
      </c>
      <c r="C114" s="261" t="s">
        <v>588</v>
      </c>
      <c r="D114" s="261">
        <v>3</v>
      </c>
    </row>
    <row r="115" spans="1:4" x14ac:dyDescent="0.25">
      <c r="A115" s="30" t="s">
        <v>439</v>
      </c>
      <c r="B115" s="31" t="s">
        <v>438</v>
      </c>
      <c r="C115" s="261" t="s">
        <v>588</v>
      </c>
      <c r="D115" s="261">
        <v>3</v>
      </c>
    </row>
    <row r="116" spans="1:4" x14ac:dyDescent="0.25">
      <c r="A116" s="30" t="s">
        <v>441</v>
      </c>
      <c r="B116" s="31" t="s">
        <v>440</v>
      </c>
      <c r="C116" s="261" t="s">
        <v>588</v>
      </c>
      <c r="D116" s="261">
        <v>3</v>
      </c>
    </row>
    <row r="117" spans="1:4" x14ac:dyDescent="0.25">
      <c r="A117" s="30" t="s">
        <v>443</v>
      </c>
      <c r="B117" s="31" t="s">
        <v>442</v>
      </c>
      <c r="C117" s="261" t="s">
        <v>588</v>
      </c>
      <c r="D117" s="261">
        <v>3</v>
      </c>
    </row>
    <row r="118" spans="1:4" x14ac:dyDescent="0.25">
      <c r="A118" s="30" t="s">
        <v>445</v>
      </c>
      <c r="B118" s="31" t="s">
        <v>444</v>
      </c>
      <c r="C118" s="261" t="s">
        <v>588</v>
      </c>
      <c r="D118" s="261">
        <v>3</v>
      </c>
    </row>
    <row r="119" spans="1:4" x14ac:dyDescent="0.25">
      <c r="A119" s="30" t="s">
        <v>446</v>
      </c>
      <c r="B119" s="31">
        <v>206046</v>
      </c>
      <c r="C119" s="261" t="s">
        <v>588</v>
      </c>
      <c r="D119" s="261">
        <v>3</v>
      </c>
    </row>
    <row r="120" spans="1:4" x14ac:dyDescent="0.25">
      <c r="A120" s="30" t="s">
        <v>448</v>
      </c>
      <c r="B120" s="31" t="s">
        <v>447</v>
      </c>
      <c r="C120" s="261" t="s">
        <v>588</v>
      </c>
      <c r="D120" s="261">
        <v>3</v>
      </c>
    </row>
    <row r="121" spans="1:4" x14ac:dyDescent="0.25">
      <c r="A121" s="30" t="s">
        <v>450</v>
      </c>
      <c r="B121" s="31" t="s">
        <v>449</v>
      </c>
      <c r="C121" s="261" t="s">
        <v>588</v>
      </c>
      <c r="D121" s="261">
        <v>3</v>
      </c>
    </row>
    <row r="122" spans="1:4" x14ac:dyDescent="0.25">
      <c r="A122" s="30" t="s">
        <v>452</v>
      </c>
      <c r="B122" s="31" t="s">
        <v>451</v>
      </c>
      <c r="C122" s="261" t="s">
        <v>588</v>
      </c>
      <c r="D122" s="261">
        <v>3</v>
      </c>
    </row>
    <row r="123" spans="1:4" x14ac:dyDescent="0.25">
      <c r="A123" s="30" t="s">
        <v>453</v>
      </c>
      <c r="B123" s="31">
        <v>260848</v>
      </c>
      <c r="C123" s="261" t="s">
        <v>588</v>
      </c>
      <c r="D123" s="261">
        <v>3</v>
      </c>
    </row>
    <row r="124" spans="1:4" x14ac:dyDescent="0.25">
      <c r="A124" s="30" t="s">
        <v>454</v>
      </c>
      <c r="B124" s="31">
        <v>205978</v>
      </c>
      <c r="C124" s="261" t="s">
        <v>648</v>
      </c>
      <c r="D124" s="261">
        <v>4</v>
      </c>
    </row>
    <row r="125" spans="1:4" x14ac:dyDescent="0.25">
      <c r="A125" s="30" t="s">
        <v>455</v>
      </c>
      <c r="B125" s="31">
        <v>2563900</v>
      </c>
      <c r="C125" s="261" t="s">
        <v>588</v>
      </c>
      <c r="D125" s="261">
        <v>3</v>
      </c>
    </row>
    <row r="126" spans="1:4" x14ac:dyDescent="0.25">
      <c r="A126" s="30" t="s">
        <v>458</v>
      </c>
      <c r="B126" s="31">
        <v>206043</v>
      </c>
      <c r="C126" s="261" t="s">
        <v>588</v>
      </c>
      <c r="D126" s="261">
        <v>3</v>
      </c>
    </row>
    <row r="127" spans="1:4" x14ac:dyDescent="0.25">
      <c r="A127" s="30" t="s">
        <v>457</v>
      </c>
      <c r="B127" s="31" t="s">
        <v>456</v>
      </c>
      <c r="C127" s="261" t="s">
        <v>588</v>
      </c>
      <c r="D127" s="261">
        <v>3</v>
      </c>
    </row>
    <row r="128" spans="1:4" x14ac:dyDescent="0.25">
      <c r="A128" s="30" t="s">
        <v>460</v>
      </c>
      <c r="B128" s="31" t="s">
        <v>459</v>
      </c>
      <c r="C128" s="261" t="s">
        <v>588</v>
      </c>
      <c r="D128" s="261">
        <v>3</v>
      </c>
    </row>
    <row r="129" spans="1:4" x14ac:dyDescent="0.25">
      <c r="A129" s="30" t="s">
        <v>461</v>
      </c>
      <c r="B129" s="31">
        <v>505502</v>
      </c>
      <c r="C129" s="261" t="s">
        <v>588</v>
      </c>
      <c r="D129" s="261">
        <v>3</v>
      </c>
    </row>
    <row r="130" spans="1:4" x14ac:dyDescent="0.25">
      <c r="A130" s="30" t="s">
        <v>463</v>
      </c>
      <c r="B130" s="31" t="s">
        <v>462</v>
      </c>
      <c r="C130" s="261" t="s">
        <v>588</v>
      </c>
      <c r="D130" s="261">
        <v>3</v>
      </c>
    </row>
    <row r="131" spans="1:4" x14ac:dyDescent="0.25">
      <c r="A131" s="30" t="s">
        <v>465</v>
      </c>
      <c r="B131" s="31" t="s">
        <v>464</v>
      </c>
      <c r="C131" s="261" t="s">
        <v>588</v>
      </c>
      <c r="D131" s="261">
        <v>3</v>
      </c>
    </row>
    <row r="132" spans="1:4" x14ac:dyDescent="0.25">
      <c r="A132" s="30" t="s">
        <v>467</v>
      </c>
      <c r="B132" s="31" t="s">
        <v>466</v>
      </c>
      <c r="C132" s="261" t="s">
        <v>588</v>
      </c>
      <c r="D132" s="261">
        <v>3</v>
      </c>
    </row>
    <row r="133" spans="1:4" x14ac:dyDescent="0.25">
      <c r="A133" s="30" t="s">
        <v>469</v>
      </c>
      <c r="B133" s="31" t="s">
        <v>468</v>
      </c>
      <c r="C133" s="261" t="s">
        <v>588</v>
      </c>
      <c r="D133" s="261">
        <v>3</v>
      </c>
    </row>
    <row r="134" spans="1:4" x14ac:dyDescent="0.25">
      <c r="A134" s="30" t="s">
        <v>471</v>
      </c>
      <c r="B134" s="31" t="s">
        <v>470</v>
      </c>
      <c r="C134" s="261" t="s">
        <v>588</v>
      </c>
      <c r="D134" s="261">
        <v>3</v>
      </c>
    </row>
    <row r="135" spans="1:4" x14ac:dyDescent="0.25">
      <c r="A135" s="30" t="s">
        <v>473</v>
      </c>
      <c r="B135" s="31" t="s">
        <v>472</v>
      </c>
      <c r="C135" s="261" t="s">
        <v>588</v>
      </c>
      <c r="D135" s="261">
        <v>3</v>
      </c>
    </row>
    <row r="136" spans="1:4" x14ac:dyDescent="0.25">
      <c r="A136" s="30" t="s">
        <v>475</v>
      </c>
      <c r="B136" s="31" t="s">
        <v>474</v>
      </c>
      <c r="C136" s="261" t="s">
        <v>588</v>
      </c>
      <c r="D136" s="261">
        <v>3</v>
      </c>
    </row>
    <row r="137" spans="1:4" x14ac:dyDescent="0.25">
      <c r="A137" s="30" t="s">
        <v>477</v>
      </c>
      <c r="B137" s="31" t="s">
        <v>476</v>
      </c>
      <c r="C137" s="261" t="s">
        <v>588</v>
      </c>
      <c r="D137" s="261">
        <v>3</v>
      </c>
    </row>
    <row r="138" spans="1:4" x14ac:dyDescent="0.25">
      <c r="A138" s="30" t="s">
        <v>479</v>
      </c>
      <c r="B138" s="31" t="s">
        <v>478</v>
      </c>
      <c r="C138" s="261" t="s">
        <v>588</v>
      </c>
      <c r="D138" s="261">
        <v>3</v>
      </c>
    </row>
    <row r="139" spans="1:4" x14ac:dyDescent="0.25">
      <c r="A139" s="30" t="s">
        <v>481</v>
      </c>
      <c r="B139" s="31" t="s">
        <v>480</v>
      </c>
      <c r="C139" s="261" t="s">
        <v>588</v>
      </c>
      <c r="D139" s="261">
        <v>3</v>
      </c>
    </row>
    <row r="140" spans="1:4" x14ac:dyDescent="0.25">
      <c r="A140" s="30" t="s">
        <v>145</v>
      </c>
      <c r="B140" s="31">
        <v>4178</v>
      </c>
      <c r="C140" s="261">
        <v>0</v>
      </c>
      <c r="D140" s="261">
        <v>0</v>
      </c>
    </row>
    <row r="141" spans="1:4" x14ac:dyDescent="0.25">
      <c r="A141" s="30" t="s">
        <v>124</v>
      </c>
      <c r="B141" s="31">
        <v>3158</v>
      </c>
      <c r="C141" s="261" t="s">
        <v>626</v>
      </c>
      <c r="D141" s="261">
        <v>1</v>
      </c>
    </row>
    <row r="142" spans="1:4" x14ac:dyDescent="0.25">
      <c r="A142" s="30" t="s">
        <v>98</v>
      </c>
      <c r="B142" s="31">
        <v>2016</v>
      </c>
      <c r="C142" s="261" t="s">
        <v>626</v>
      </c>
      <c r="D142" s="261">
        <v>1</v>
      </c>
    </row>
    <row r="143" spans="1:4" x14ac:dyDescent="0.25">
      <c r="A143" s="30" t="s">
        <v>483</v>
      </c>
      <c r="B143" s="31" t="s">
        <v>482</v>
      </c>
      <c r="C143" s="261" t="s">
        <v>588</v>
      </c>
      <c r="D143" s="261">
        <v>3</v>
      </c>
    </row>
    <row r="144" spans="1:4" x14ac:dyDescent="0.25">
      <c r="A144" s="30" t="s">
        <v>487</v>
      </c>
      <c r="B144" s="31" t="s">
        <v>486</v>
      </c>
      <c r="C144" s="261" t="s">
        <v>588</v>
      </c>
      <c r="D144" s="261">
        <v>3</v>
      </c>
    </row>
    <row r="145" spans="1:4" x14ac:dyDescent="0.25">
      <c r="A145" s="30" t="s">
        <v>489</v>
      </c>
      <c r="B145" s="31" t="s">
        <v>488</v>
      </c>
      <c r="C145" s="261" t="s">
        <v>588</v>
      </c>
      <c r="D145" s="261">
        <v>3</v>
      </c>
    </row>
    <row r="146" spans="1:4" x14ac:dyDescent="0.25">
      <c r="A146" s="30" t="s">
        <v>491</v>
      </c>
      <c r="B146" s="31" t="s">
        <v>490</v>
      </c>
      <c r="C146" s="261" t="s">
        <v>588</v>
      </c>
      <c r="D146" s="261">
        <v>3</v>
      </c>
    </row>
    <row r="147" spans="1:4" x14ac:dyDescent="0.25">
      <c r="A147" s="30" t="s">
        <v>96</v>
      </c>
      <c r="B147" s="31">
        <v>2013</v>
      </c>
      <c r="C147" s="261" t="s">
        <v>626</v>
      </c>
      <c r="D147" s="261">
        <v>1</v>
      </c>
    </row>
    <row r="148" spans="1:4" x14ac:dyDescent="0.25">
      <c r="A148" s="30" t="s">
        <v>492</v>
      </c>
      <c r="B148" s="31">
        <v>206106</v>
      </c>
      <c r="C148" s="261" t="s">
        <v>588</v>
      </c>
      <c r="D148" s="261">
        <v>3</v>
      </c>
    </row>
    <row r="149" spans="1:4" x14ac:dyDescent="0.25">
      <c r="A149" s="30" t="s">
        <v>494</v>
      </c>
      <c r="B149" s="31" t="s">
        <v>493</v>
      </c>
      <c r="C149" s="261" t="s">
        <v>588</v>
      </c>
      <c r="D149" s="261">
        <v>3</v>
      </c>
    </row>
    <row r="150" spans="1:4" x14ac:dyDescent="0.25">
      <c r="A150" s="30" t="s">
        <v>496</v>
      </c>
      <c r="B150" s="31" t="s">
        <v>495</v>
      </c>
      <c r="C150" s="261" t="s">
        <v>588</v>
      </c>
      <c r="D150" s="261">
        <v>3</v>
      </c>
    </row>
    <row r="151" spans="1:4" x14ac:dyDescent="0.25">
      <c r="A151" s="30" t="s">
        <v>74</v>
      </c>
      <c r="B151" s="31">
        <v>2457</v>
      </c>
      <c r="C151" s="261" t="s">
        <v>603</v>
      </c>
      <c r="D151" s="261">
        <v>0</v>
      </c>
    </row>
    <row r="152" spans="1:4" x14ac:dyDescent="0.25">
      <c r="A152" s="30" t="s">
        <v>93</v>
      </c>
      <c r="B152" s="31">
        <v>2010</v>
      </c>
      <c r="C152" s="261" t="s">
        <v>626</v>
      </c>
      <c r="D152" s="261">
        <v>1</v>
      </c>
    </row>
    <row r="153" spans="1:4" x14ac:dyDescent="0.25">
      <c r="A153" s="30" t="s">
        <v>87</v>
      </c>
      <c r="B153" s="31">
        <v>2002</v>
      </c>
      <c r="C153" s="261" t="s">
        <v>626</v>
      </c>
      <c r="D153" s="261">
        <v>1</v>
      </c>
    </row>
    <row r="154" spans="1:4" x14ac:dyDescent="0.25">
      <c r="A154" s="30" t="s">
        <v>106</v>
      </c>
      <c r="B154" s="31">
        <v>2024</v>
      </c>
      <c r="C154" s="261" t="s">
        <v>626</v>
      </c>
      <c r="D154" s="261">
        <v>1</v>
      </c>
    </row>
    <row r="155" spans="1:4" x14ac:dyDescent="0.25">
      <c r="A155" s="30" t="s">
        <v>132</v>
      </c>
      <c r="B155" s="31">
        <v>3544</v>
      </c>
      <c r="C155" s="261" t="s">
        <v>626</v>
      </c>
      <c r="D155" s="261">
        <v>1</v>
      </c>
    </row>
    <row r="156" spans="1:4" x14ac:dyDescent="0.25">
      <c r="A156" s="30" t="s">
        <v>323</v>
      </c>
      <c r="B156" s="31">
        <v>1008</v>
      </c>
      <c r="C156" s="261" t="s">
        <v>589</v>
      </c>
      <c r="D156" s="261">
        <v>2</v>
      </c>
    </row>
    <row r="157" spans="1:4" x14ac:dyDescent="0.25">
      <c r="A157" s="30" t="s">
        <v>498</v>
      </c>
      <c r="B157" s="31" t="s">
        <v>497</v>
      </c>
      <c r="C157" s="261" t="s">
        <v>588</v>
      </c>
      <c r="D157" s="261">
        <v>3</v>
      </c>
    </row>
    <row r="158" spans="1:4" x14ac:dyDescent="0.25">
      <c r="A158" s="30" t="s">
        <v>89</v>
      </c>
      <c r="B158" s="31">
        <v>2006</v>
      </c>
      <c r="C158" s="261" t="s">
        <v>626</v>
      </c>
      <c r="D158" s="261">
        <v>1</v>
      </c>
    </row>
    <row r="159" spans="1:4" x14ac:dyDescent="0.25">
      <c r="A159" s="30" t="s">
        <v>575</v>
      </c>
      <c r="B159" s="31" t="s">
        <v>574</v>
      </c>
      <c r="C159" s="261" t="s">
        <v>588</v>
      </c>
      <c r="D159" s="261">
        <v>3</v>
      </c>
    </row>
    <row r="160" spans="1:4" x14ac:dyDescent="0.25">
      <c r="A160" s="30" t="s">
        <v>500</v>
      </c>
      <c r="B160" s="31" t="s">
        <v>499</v>
      </c>
      <c r="C160" s="261" t="s">
        <v>588</v>
      </c>
      <c r="D160" s="261">
        <v>3</v>
      </c>
    </row>
    <row r="161" spans="1:4" x14ac:dyDescent="0.25">
      <c r="A161" s="23" t="s">
        <v>263</v>
      </c>
      <c r="B161" s="284">
        <v>7026</v>
      </c>
      <c r="C161" s="288">
        <v>0</v>
      </c>
      <c r="D161" s="261">
        <v>0</v>
      </c>
    </row>
    <row r="162" spans="1:4" x14ac:dyDescent="0.25">
      <c r="A162" s="30" t="s">
        <v>501</v>
      </c>
      <c r="B162" s="31">
        <v>206134</v>
      </c>
      <c r="C162" s="261" t="s">
        <v>588</v>
      </c>
      <c r="D162" s="261">
        <v>3</v>
      </c>
    </row>
    <row r="163" spans="1:4" x14ac:dyDescent="0.25">
      <c r="A163" s="30" t="s">
        <v>503</v>
      </c>
      <c r="B163" s="31" t="s">
        <v>502</v>
      </c>
      <c r="C163" s="261" t="s">
        <v>588</v>
      </c>
      <c r="D163" s="261">
        <v>3</v>
      </c>
    </row>
    <row r="164" spans="1:4" x14ac:dyDescent="0.25">
      <c r="A164" s="23" t="s">
        <v>758</v>
      </c>
      <c r="B164" s="284">
        <v>7029</v>
      </c>
      <c r="C164" s="288">
        <v>0</v>
      </c>
      <c r="D164" s="261">
        <v>0</v>
      </c>
    </row>
    <row r="165" spans="1:4" x14ac:dyDescent="0.25">
      <c r="A165" s="30" t="s">
        <v>504</v>
      </c>
      <c r="B165" s="31">
        <v>206109</v>
      </c>
      <c r="C165" s="261" t="s">
        <v>588</v>
      </c>
      <c r="D165" s="261">
        <v>3</v>
      </c>
    </row>
    <row r="166" spans="1:4" x14ac:dyDescent="0.25">
      <c r="A166" s="30" t="s">
        <v>104</v>
      </c>
      <c r="B166" s="31">
        <v>2022</v>
      </c>
      <c r="C166" s="261" t="s">
        <v>626</v>
      </c>
      <c r="D166" s="261">
        <v>1</v>
      </c>
    </row>
    <row r="167" spans="1:4" x14ac:dyDescent="0.25">
      <c r="A167" s="30" t="s">
        <v>92</v>
      </c>
      <c r="B167" s="31">
        <v>2009</v>
      </c>
      <c r="C167" s="261">
        <v>0</v>
      </c>
      <c r="D167" s="261">
        <v>0</v>
      </c>
    </row>
    <row r="168" spans="1:4" x14ac:dyDescent="0.25">
      <c r="A168" s="30" t="s">
        <v>149</v>
      </c>
      <c r="B168" s="31">
        <v>6905</v>
      </c>
      <c r="C168" s="261">
        <v>0</v>
      </c>
      <c r="D168" s="261">
        <v>0</v>
      </c>
    </row>
    <row r="169" spans="1:4" x14ac:dyDescent="0.25">
      <c r="A169" s="30" t="s">
        <v>122</v>
      </c>
      <c r="B169" s="31">
        <v>2522</v>
      </c>
      <c r="C169" s="261">
        <v>0</v>
      </c>
      <c r="D169" s="261">
        <v>0</v>
      </c>
    </row>
    <row r="170" spans="1:4" x14ac:dyDescent="0.25">
      <c r="A170" s="30" t="s">
        <v>505</v>
      </c>
      <c r="B170" s="31">
        <v>206110</v>
      </c>
      <c r="C170" s="261" t="s">
        <v>588</v>
      </c>
      <c r="D170" s="261">
        <v>3</v>
      </c>
    </row>
    <row r="171" spans="1:4" x14ac:dyDescent="0.25">
      <c r="A171" s="30" t="s">
        <v>139</v>
      </c>
      <c r="B171" s="31">
        <v>4006</v>
      </c>
      <c r="C171" s="261">
        <v>0</v>
      </c>
      <c r="D171" s="261">
        <v>0</v>
      </c>
    </row>
    <row r="172" spans="1:4" x14ac:dyDescent="0.25">
      <c r="A172" s="30" t="s">
        <v>514</v>
      </c>
      <c r="B172" s="31" t="s">
        <v>513</v>
      </c>
      <c r="C172" s="261" t="s">
        <v>648</v>
      </c>
      <c r="D172" s="261">
        <v>4</v>
      </c>
    </row>
    <row r="173" spans="1:4" x14ac:dyDescent="0.25">
      <c r="A173" s="30" t="s">
        <v>507</v>
      </c>
      <c r="B173" s="31" t="s">
        <v>506</v>
      </c>
      <c r="C173" s="261" t="s">
        <v>588</v>
      </c>
      <c r="D173" s="261">
        <v>3</v>
      </c>
    </row>
    <row r="174" spans="1:4" x14ac:dyDescent="0.25">
      <c r="A174" s="30" t="s">
        <v>509</v>
      </c>
      <c r="B174" s="31" t="s">
        <v>508</v>
      </c>
      <c r="C174" s="261" t="s">
        <v>588</v>
      </c>
      <c r="D174" s="261">
        <v>3</v>
      </c>
    </row>
    <row r="175" spans="1:4" x14ac:dyDescent="0.25">
      <c r="A175" s="30" t="s">
        <v>511</v>
      </c>
      <c r="B175" s="31" t="s">
        <v>510</v>
      </c>
      <c r="C175" s="261" t="s">
        <v>648</v>
      </c>
      <c r="D175" s="261">
        <v>4</v>
      </c>
    </row>
    <row r="176" spans="1:4" x14ac:dyDescent="0.25">
      <c r="A176" s="30" t="s">
        <v>512</v>
      </c>
      <c r="B176" s="31">
        <v>509197</v>
      </c>
      <c r="C176" s="261" t="s">
        <v>588</v>
      </c>
      <c r="D176" s="261">
        <v>3</v>
      </c>
    </row>
    <row r="177" spans="1:4" x14ac:dyDescent="0.25">
      <c r="A177" s="30" t="s">
        <v>84</v>
      </c>
      <c r="B177" s="31">
        <v>4182</v>
      </c>
      <c r="C177" s="261" t="s">
        <v>603</v>
      </c>
      <c r="D177" s="261">
        <v>0</v>
      </c>
    </row>
    <row r="178" spans="1:4" x14ac:dyDescent="0.25">
      <c r="A178" s="30" t="s">
        <v>324</v>
      </c>
      <c r="B178" s="31">
        <v>1005</v>
      </c>
      <c r="C178" s="261" t="s">
        <v>589</v>
      </c>
      <c r="D178" s="261">
        <v>2</v>
      </c>
    </row>
    <row r="179" spans="1:4" x14ac:dyDescent="0.25">
      <c r="A179" s="30" t="s">
        <v>516</v>
      </c>
      <c r="B179" s="31" t="s">
        <v>515</v>
      </c>
      <c r="C179" s="261" t="s">
        <v>648</v>
      </c>
      <c r="D179" s="261">
        <v>4</v>
      </c>
    </row>
    <row r="180" spans="1:4" x14ac:dyDescent="0.25">
      <c r="A180" s="30" t="s">
        <v>68</v>
      </c>
      <c r="B180" s="31">
        <v>2436</v>
      </c>
      <c r="C180" s="261">
        <v>0</v>
      </c>
      <c r="D180" s="261">
        <v>0</v>
      </c>
    </row>
    <row r="181" spans="1:4" x14ac:dyDescent="0.25">
      <c r="A181" s="30" t="s">
        <v>517</v>
      </c>
      <c r="B181" s="31">
        <v>206117</v>
      </c>
      <c r="C181" s="261" t="s">
        <v>648</v>
      </c>
      <c r="D181" s="261">
        <v>4</v>
      </c>
    </row>
    <row r="182" spans="1:4" x14ac:dyDescent="0.25">
      <c r="A182" s="30" t="s">
        <v>73</v>
      </c>
      <c r="B182" s="31">
        <v>2452</v>
      </c>
      <c r="C182" s="261" t="s">
        <v>603</v>
      </c>
      <c r="D182" s="261">
        <v>1</v>
      </c>
    </row>
    <row r="183" spans="1:4" x14ac:dyDescent="0.25">
      <c r="A183" s="30" t="s">
        <v>518</v>
      </c>
      <c r="B183" s="31">
        <v>206141</v>
      </c>
      <c r="C183" s="261" t="s">
        <v>588</v>
      </c>
      <c r="D183" s="261">
        <v>3</v>
      </c>
    </row>
    <row r="184" spans="1:4" x14ac:dyDescent="0.25">
      <c r="A184" s="30" t="s">
        <v>81</v>
      </c>
      <c r="B184" s="31">
        <v>2627</v>
      </c>
      <c r="C184" s="261" t="s">
        <v>603</v>
      </c>
      <c r="D184" s="261">
        <v>0</v>
      </c>
    </row>
    <row r="185" spans="1:4" x14ac:dyDescent="0.25">
      <c r="A185" s="30" t="s">
        <v>85</v>
      </c>
      <c r="B185" s="31">
        <v>5406</v>
      </c>
      <c r="C185" s="261" t="s">
        <v>603</v>
      </c>
      <c r="D185" s="261">
        <v>0</v>
      </c>
    </row>
    <row r="186" spans="1:4" x14ac:dyDescent="0.25">
      <c r="A186" s="30" t="s">
        <v>138</v>
      </c>
      <c r="B186" s="31">
        <v>4005</v>
      </c>
      <c r="C186" s="261">
        <v>0</v>
      </c>
      <c r="D186" s="261">
        <v>0</v>
      </c>
    </row>
    <row r="187" spans="1:4" x14ac:dyDescent="0.25">
      <c r="A187" s="30" t="s">
        <v>151</v>
      </c>
      <c r="B187" s="31">
        <v>2028</v>
      </c>
      <c r="C187" s="261" t="s">
        <v>626</v>
      </c>
      <c r="D187" s="261">
        <v>1</v>
      </c>
    </row>
    <row r="188" spans="1:4" x14ac:dyDescent="0.25">
      <c r="A188" s="30" t="s">
        <v>520</v>
      </c>
      <c r="B188" s="31" t="s">
        <v>519</v>
      </c>
      <c r="C188" s="261" t="s">
        <v>648</v>
      </c>
      <c r="D188" s="261">
        <v>4</v>
      </c>
    </row>
    <row r="189" spans="1:4" x14ac:dyDescent="0.25">
      <c r="A189" s="30" t="s">
        <v>79</v>
      </c>
      <c r="B189" s="31">
        <v>2473</v>
      </c>
      <c r="C189" s="261" t="s">
        <v>603</v>
      </c>
      <c r="D189" s="261">
        <v>1</v>
      </c>
    </row>
    <row r="190" spans="1:4" x14ac:dyDescent="0.25">
      <c r="A190" s="30" t="s">
        <v>119</v>
      </c>
      <c r="B190" s="31">
        <v>2471</v>
      </c>
      <c r="C190" s="261">
        <v>0</v>
      </c>
      <c r="D190" s="261">
        <v>0</v>
      </c>
    </row>
    <row r="191" spans="1:4" x14ac:dyDescent="0.25">
      <c r="A191" s="30" t="s">
        <v>524</v>
      </c>
      <c r="B191" s="31">
        <v>258406</v>
      </c>
      <c r="C191" s="261" t="s">
        <v>648</v>
      </c>
      <c r="D191" s="261">
        <v>4</v>
      </c>
    </row>
    <row r="192" spans="1:4" x14ac:dyDescent="0.25">
      <c r="A192" s="30" t="s">
        <v>523</v>
      </c>
      <c r="B192" s="31">
        <v>258408</v>
      </c>
      <c r="C192" s="261" t="s">
        <v>648</v>
      </c>
      <c r="D192" s="261">
        <v>4</v>
      </c>
    </row>
    <row r="193" spans="1:4" x14ac:dyDescent="0.25">
      <c r="A193" s="30" t="s">
        <v>525</v>
      </c>
      <c r="B193" s="31">
        <v>2751454</v>
      </c>
      <c r="C193" s="261" t="s">
        <v>648</v>
      </c>
      <c r="D193" s="261">
        <v>4</v>
      </c>
    </row>
    <row r="194" spans="1:4" x14ac:dyDescent="0.25">
      <c r="A194" s="30" t="s">
        <v>62</v>
      </c>
      <c r="B194" s="31">
        <v>2003</v>
      </c>
      <c r="C194" s="261" t="s">
        <v>603</v>
      </c>
      <c r="D194" s="261">
        <v>1</v>
      </c>
    </row>
    <row r="195" spans="1:4" x14ac:dyDescent="0.25">
      <c r="A195" s="30" t="s">
        <v>99</v>
      </c>
      <c r="B195" s="31">
        <v>2017</v>
      </c>
      <c r="C195" s="261">
        <v>0</v>
      </c>
      <c r="D195" s="261">
        <v>0</v>
      </c>
    </row>
    <row r="196" spans="1:4" x14ac:dyDescent="0.25">
      <c r="A196" s="30" t="s">
        <v>66</v>
      </c>
      <c r="B196" s="31">
        <v>2424</v>
      </c>
      <c r="C196" s="261" t="s">
        <v>603</v>
      </c>
      <c r="D196" s="261">
        <v>0</v>
      </c>
    </row>
    <row r="197" spans="1:4" x14ac:dyDescent="0.25">
      <c r="A197" s="30" t="s">
        <v>527</v>
      </c>
      <c r="B197" s="31" t="s">
        <v>526</v>
      </c>
      <c r="C197" s="261" t="s">
        <v>648</v>
      </c>
      <c r="D197" s="261">
        <v>4</v>
      </c>
    </row>
    <row r="198" spans="1:4" x14ac:dyDescent="0.25">
      <c r="A198" s="30" t="s">
        <v>528</v>
      </c>
      <c r="B198" s="31">
        <v>206146</v>
      </c>
      <c r="C198" s="261" t="s">
        <v>648</v>
      </c>
      <c r="D198" s="261">
        <v>4</v>
      </c>
    </row>
    <row r="199" spans="1:4" x14ac:dyDescent="0.25">
      <c r="A199" s="30" t="s">
        <v>69</v>
      </c>
      <c r="B199" s="31">
        <v>2439</v>
      </c>
      <c r="C199" s="261">
        <v>0</v>
      </c>
      <c r="D199" s="261">
        <v>0</v>
      </c>
    </row>
    <row r="200" spans="1:4" x14ac:dyDescent="0.25">
      <c r="A200" s="30" t="s">
        <v>110</v>
      </c>
      <c r="B200" s="31">
        <v>2440</v>
      </c>
      <c r="C200" s="261">
        <v>0</v>
      </c>
      <c r="D200" s="261">
        <v>0</v>
      </c>
    </row>
    <row r="201" spans="1:4" x14ac:dyDescent="0.25">
      <c r="A201" s="30" t="s">
        <v>530</v>
      </c>
      <c r="B201" s="31" t="s">
        <v>529</v>
      </c>
      <c r="C201" s="261" t="s">
        <v>648</v>
      </c>
      <c r="D201" s="261">
        <v>4</v>
      </c>
    </row>
    <row r="202" spans="1:4" x14ac:dyDescent="0.25">
      <c r="A202" s="30" t="s">
        <v>77</v>
      </c>
      <c r="B202" s="31">
        <v>2462</v>
      </c>
      <c r="C202" s="261" t="s">
        <v>603</v>
      </c>
      <c r="D202" s="261">
        <v>1</v>
      </c>
    </row>
    <row r="203" spans="1:4" x14ac:dyDescent="0.25">
      <c r="A203" s="30" t="s">
        <v>115</v>
      </c>
      <c r="B203" s="31">
        <v>2463</v>
      </c>
      <c r="C203" s="261">
        <v>0</v>
      </c>
      <c r="D203" s="261">
        <v>0</v>
      </c>
    </row>
    <row r="204" spans="1:4" x14ac:dyDescent="0.25">
      <c r="A204" s="30" t="s">
        <v>80</v>
      </c>
      <c r="B204" s="31">
        <v>2505</v>
      </c>
      <c r="C204" s="261" t="s">
        <v>603</v>
      </c>
      <c r="D204" s="261">
        <v>1</v>
      </c>
    </row>
    <row r="205" spans="1:4" x14ac:dyDescent="0.25">
      <c r="A205" s="30" t="s">
        <v>102</v>
      </c>
      <c r="B205" s="31">
        <v>2020</v>
      </c>
      <c r="C205" s="261" t="s">
        <v>626</v>
      </c>
      <c r="D205" s="261">
        <v>1</v>
      </c>
    </row>
    <row r="206" spans="1:4" x14ac:dyDescent="0.25">
      <c r="A206" s="30" t="s">
        <v>75</v>
      </c>
      <c r="B206" s="31">
        <v>2458</v>
      </c>
      <c r="C206" s="261" t="s">
        <v>603</v>
      </c>
      <c r="D206" s="261">
        <v>0</v>
      </c>
    </row>
    <row r="207" spans="1:4" x14ac:dyDescent="0.25">
      <c r="A207" s="30" t="s">
        <v>61</v>
      </c>
      <c r="B207" s="31">
        <v>2001</v>
      </c>
      <c r="C207" s="261" t="s">
        <v>603</v>
      </c>
      <c r="D207" s="261">
        <v>1</v>
      </c>
    </row>
    <row r="208" spans="1:4" x14ac:dyDescent="0.25">
      <c r="A208" s="30" t="s">
        <v>577</v>
      </c>
      <c r="B208" s="31" t="s">
        <v>576</v>
      </c>
      <c r="C208" s="261" t="s">
        <v>588</v>
      </c>
      <c r="D208" s="261">
        <v>3</v>
      </c>
    </row>
    <row r="209" spans="1:4" x14ac:dyDescent="0.25">
      <c r="A209" s="30" t="s">
        <v>67</v>
      </c>
      <c r="B209" s="31">
        <v>2429</v>
      </c>
      <c r="C209" s="261" t="s">
        <v>603</v>
      </c>
      <c r="D209" s="261">
        <v>1</v>
      </c>
    </row>
    <row r="210" spans="1:4" x14ac:dyDescent="0.25">
      <c r="A210" s="30" t="s">
        <v>531</v>
      </c>
      <c r="B210" s="31">
        <v>2534321</v>
      </c>
      <c r="C210" s="261" t="s">
        <v>648</v>
      </c>
      <c r="D210" s="261">
        <v>4</v>
      </c>
    </row>
    <row r="211" spans="1:4" x14ac:dyDescent="0.25">
      <c r="A211" s="30" t="s">
        <v>146</v>
      </c>
      <c r="B211" s="31">
        <v>4607</v>
      </c>
      <c r="C211" s="261">
        <v>0</v>
      </c>
      <c r="D211" s="261">
        <v>0</v>
      </c>
    </row>
    <row r="212" spans="1:4" x14ac:dyDescent="0.25">
      <c r="A212" s="30" t="s">
        <v>533</v>
      </c>
      <c r="B212" s="31" t="s">
        <v>532</v>
      </c>
      <c r="C212" s="261" t="s">
        <v>648</v>
      </c>
      <c r="D212" s="261">
        <v>4</v>
      </c>
    </row>
    <row r="213" spans="1:4" x14ac:dyDescent="0.25">
      <c r="A213" s="30" t="s">
        <v>573</v>
      </c>
      <c r="B213" s="31" t="s">
        <v>572</v>
      </c>
      <c r="C213" s="261" t="s">
        <v>588</v>
      </c>
      <c r="D213" s="261">
        <v>3</v>
      </c>
    </row>
    <row r="214" spans="1:4" x14ac:dyDescent="0.25">
      <c r="A214" s="30" t="s">
        <v>71</v>
      </c>
      <c r="B214" s="31">
        <v>2444</v>
      </c>
      <c r="C214" s="261" t="s">
        <v>603</v>
      </c>
      <c r="D214" s="261">
        <v>1</v>
      </c>
    </row>
    <row r="215" spans="1:4" x14ac:dyDescent="0.25">
      <c r="A215" s="30" t="s">
        <v>83</v>
      </c>
      <c r="B215" s="31">
        <v>5209</v>
      </c>
      <c r="C215" s="261" t="s">
        <v>603</v>
      </c>
      <c r="D215" s="261">
        <v>0</v>
      </c>
    </row>
    <row r="216" spans="1:4" x14ac:dyDescent="0.25">
      <c r="A216" s="30" t="s">
        <v>535</v>
      </c>
      <c r="B216" s="31" t="s">
        <v>534</v>
      </c>
      <c r="C216" s="261" t="s">
        <v>588</v>
      </c>
      <c r="D216" s="261">
        <v>3</v>
      </c>
    </row>
    <row r="217" spans="1:4" x14ac:dyDescent="0.25">
      <c r="A217" s="30" t="s">
        <v>537</v>
      </c>
      <c r="B217" s="31" t="s">
        <v>536</v>
      </c>
      <c r="C217" s="261" t="s">
        <v>588</v>
      </c>
      <c r="D217" s="261">
        <v>3</v>
      </c>
    </row>
    <row r="218" spans="1:4" x14ac:dyDescent="0.25">
      <c r="A218" s="30" t="s">
        <v>539</v>
      </c>
      <c r="B218" s="31" t="s">
        <v>538</v>
      </c>
      <c r="C218" s="261" t="s">
        <v>648</v>
      </c>
      <c r="D218" s="261">
        <v>4</v>
      </c>
    </row>
    <row r="219" spans="1:4" x14ac:dyDescent="0.25">
      <c r="A219" s="30" t="s">
        <v>78</v>
      </c>
      <c r="B219" s="31">
        <v>2469</v>
      </c>
      <c r="C219" s="261" t="s">
        <v>603</v>
      </c>
      <c r="D219" s="261">
        <v>0</v>
      </c>
    </row>
    <row r="220" spans="1:4" x14ac:dyDescent="0.25">
      <c r="A220" s="30" t="s">
        <v>541</v>
      </c>
      <c r="B220" s="31" t="s">
        <v>540</v>
      </c>
      <c r="C220" s="261" t="s">
        <v>648</v>
      </c>
      <c r="D220" s="261">
        <v>4</v>
      </c>
    </row>
    <row r="221" spans="1:4" x14ac:dyDescent="0.25">
      <c r="A221" s="30" t="s">
        <v>543</v>
      </c>
      <c r="B221" s="31" t="s">
        <v>542</v>
      </c>
      <c r="C221" s="261" t="s">
        <v>588</v>
      </c>
      <c r="D221" s="261">
        <v>3</v>
      </c>
    </row>
    <row r="222" spans="1:4" x14ac:dyDescent="0.25">
      <c r="A222" s="30" t="s">
        <v>117</v>
      </c>
      <c r="B222" s="31">
        <v>2466</v>
      </c>
      <c r="C222" s="261">
        <v>0</v>
      </c>
      <c r="D222" s="261">
        <v>0</v>
      </c>
    </row>
    <row r="223" spans="1:4" x14ac:dyDescent="0.25">
      <c r="A223" s="30" t="s">
        <v>131</v>
      </c>
      <c r="B223" s="31">
        <v>3543</v>
      </c>
      <c r="C223" s="261" t="s">
        <v>626</v>
      </c>
      <c r="D223" s="261">
        <v>1</v>
      </c>
    </row>
    <row r="224" spans="1:4" x14ac:dyDescent="0.25">
      <c r="A224" s="30" t="s">
        <v>545</v>
      </c>
      <c r="B224" s="31" t="s">
        <v>544</v>
      </c>
      <c r="C224" s="261" t="s">
        <v>588</v>
      </c>
      <c r="D224" s="261">
        <v>3</v>
      </c>
    </row>
    <row r="225" spans="1:4" x14ac:dyDescent="0.25">
      <c r="A225" s="23" t="s">
        <v>759</v>
      </c>
      <c r="B225" s="284">
        <v>7027</v>
      </c>
      <c r="C225" s="288">
        <v>0</v>
      </c>
      <c r="D225" s="261">
        <v>0</v>
      </c>
    </row>
    <row r="226" spans="1:4" x14ac:dyDescent="0.25">
      <c r="A226" s="23" t="s">
        <v>264</v>
      </c>
      <c r="B226" s="284">
        <v>7025</v>
      </c>
      <c r="C226" s="288">
        <v>0</v>
      </c>
      <c r="D226" s="261">
        <v>0</v>
      </c>
    </row>
    <row r="227" spans="1:4" x14ac:dyDescent="0.25">
      <c r="A227" s="30" t="s">
        <v>547</v>
      </c>
      <c r="B227" s="31" t="s">
        <v>546</v>
      </c>
      <c r="C227" s="261" t="s">
        <v>588</v>
      </c>
      <c r="D227" s="261">
        <v>3</v>
      </c>
    </row>
    <row r="228" spans="1:4" x14ac:dyDescent="0.25">
      <c r="A228" s="30" t="s">
        <v>127</v>
      </c>
      <c r="B228" s="31">
        <v>3531</v>
      </c>
      <c r="C228" s="261">
        <v>0</v>
      </c>
      <c r="D228" s="261">
        <v>0</v>
      </c>
    </row>
    <row r="229" spans="1:4" x14ac:dyDescent="0.25">
      <c r="A229" s="23" t="s">
        <v>760</v>
      </c>
      <c r="B229" s="284">
        <v>7024</v>
      </c>
      <c r="C229" s="288">
        <v>0</v>
      </c>
      <c r="D229" s="261">
        <v>0</v>
      </c>
    </row>
    <row r="230" spans="1:4" x14ac:dyDescent="0.25">
      <c r="A230" s="30" t="s">
        <v>82</v>
      </c>
      <c r="B230" s="31">
        <v>3526</v>
      </c>
      <c r="C230" s="261" t="s">
        <v>603</v>
      </c>
      <c r="D230" s="261">
        <v>1</v>
      </c>
    </row>
    <row r="231" spans="1:4" x14ac:dyDescent="0.25">
      <c r="A231" s="30" t="s">
        <v>129</v>
      </c>
      <c r="B231" s="31">
        <v>3535</v>
      </c>
      <c r="C231" s="261">
        <v>0</v>
      </c>
      <c r="D231" s="261">
        <v>0</v>
      </c>
    </row>
    <row r="232" spans="1:4" x14ac:dyDescent="0.25">
      <c r="A232" s="30" t="s">
        <v>91</v>
      </c>
      <c r="B232" s="31">
        <v>2008</v>
      </c>
      <c r="C232" s="261">
        <v>0</v>
      </c>
      <c r="D232" s="261">
        <v>0</v>
      </c>
    </row>
    <row r="233" spans="1:4" x14ac:dyDescent="0.25">
      <c r="A233" s="30" t="s">
        <v>130</v>
      </c>
      <c r="B233" s="31">
        <v>3542</v>
      </c>
      <c r="C233" s="261">
        <v>0</v>
      </c>
      <c r="D233" s="261">
        <v>0</v>
      </c>
    </row>
    <row r="234" spans="1:4" x14ac:dyDescent="0.25">
      <c r="A234" s="30" t="s">
        <v>548</v>
      </c>
      <c r="B234" s="31">
        <v>206154</v>
      </c>
      <c r="C234" s="261" t="s">
        <v>588</v>
      </c>
      <c r="D234" s="261">
        <v>3</v>
      </c>
    </row>
    <row r="235" spans="1:4" x14ac:dyDescent="0.25">
      <c r="A235" s="23" t="s">
        <v>761</v>
      </c>
      <c r="B235" s="284">
        <v>7021</v>
      </c>
      <c r="C235" s="288">
        <v>0</v>
      </c>
      <c r="D235" s="261">
        <v>0</v>
      </c>
    </row>
    <row r="236" spans="1:4" x14ac:dyDescent="0.25">
      <c r="A236" s="30" t="s">
        <v>125</v>
      </c>
      <c r="B236" s="31">
        <v>3528</v>
      </c>
      <c r="C236" s="261" t="s">
        <v>626</v>
      </c>
      <c r="D236" s="261">
        <v>1</v>
      </c>
    </row>
    <row r="237" spans="1:4" x14ac:dyDescent="0.25">
      <c r="A237" s="30" t="s">
        <v>107</v>
      </c>
      <c r="B237" s="31">
        <v>2025</v>
      </c>
      <c r="C237" s="261">
        <v>0</v>
      </c>
      <c r="D237" s="261">
        <v>0</v>
      </c>
    </row>
    <row r="238" spans="1:4" x14ac:dyDescent="0.25">
      <c r="A238" s="30" t="s">
        <v>128</v>
      </c>
      <c r="B238" s="31">
        <v>3532</v>
      </c>
      <c r="C238" s="261">
        <v>0</v>
      </c>
      <c r="D238" s="261">
        <v>0</v>
      </c>
    </row>
    <row r="239" spans="1:4" x14ac:dyDescent="0.25">
      <c r="A239" s="30" t="s">
        <v>325</v>
      </c>
      <c r="B239" s="31">
        <v>1010</v>
      </c>
      <c r="C239" s="261" t="s">
        <v>589</v>
      </c>
      <c r="D239" s="261">
        <v>2</v>
      </c>
    </row>
    <row r="240" spans="1:4" x14ac:dyDescent="0.25">
      <c r="A240" s="30" t="s">
        <v>550</v>
      </c>
      <c r="B240" s="31" t="s">
        <v>549</v>
      </c>
      <c r="C240" s="261" t="s">
        <v>588</v>
      </c>
      <c r="D240" s="261">
        <v>3</v>
      </c>
    </row>
    <row r="241" spans="1:4" x14ac:dyDescent="0.25">
      <c r="A241" s="30" t="s">
        <v>551</v>
      </c>
      <c r="B241" s="31">
        <v>2751455</v>
      </c>
      <c r="C241" s="261" t="s">
        <v>648</v>
      </c>
      <c r="D241" s="261">
        <v>4</v>
      </c>
    </row>
    <row r="242" spans="1:4" x14ac:dyDescent="0.25">
      <c r="A242" s="30" t="s">
        <v>86</v>
      </c>
      <c r="B242" s="31">
        <v>4177</v>
      </c>
      <c r="C242" s="261" t="s">
        <v>603</v>
      </c>
      <c r="D242" s="261">
        <v>1</v>
      </c>
    </row>
    <row r="243" spans="1:4" x14ac:dyDescent="0.25">
      <c r="A243" s="30" t="s">
        <v>553</v>
      </c>
      <c r="B243" s="31" t="s">
        <v>552</v>
      </c>
      <c r="C243" s="261" t="s">
        <v>588</v>
      </c>
      <c r="D243" s="261">
        <v>3</v>
      </c>
    </row>
    <row r="244" spans="1:4" x14ac:dyDescent="0.25">
      <c r="A244" s="30" t="s">
        <v>554</v>
      </c>
      <c r="B244" s="31">
        <v>206103</v>
      </c>
      <c r="C244" s="261" t="s">
        <v>648</v>
      </c>
      <c r="D244" s="261">
        <v>4</v>
      </c>
    </row>
    <row r="245" spans="1:4" x14ac:dyDescent="0.25">
      <c r="A245" s="30" t="s">
        <v>555</v>
      </c>
      <c r="B245" s="31">
        <v>2614882</v>
      </c>
      <c r="C245" s="261" t="s">
        <v>648</v>
      </c>
      <c r="D245" s="261">
        <v>4</v>
      </c>
    </row>
    <row r="246" spans="1:4" x14ac:dyDescent="0.25">
      <c r="A246" s="30" t="s">
        <v>557</v>
      </c>
      <c r="B246" s="31" t="s">
        <v>556</v>
      </c>
      <c r="C246" s="261" t="s">
        <v>648</v>
      </c>
      <c r="D246" s="261">
        <v>4</v>
      </c>
    </row>
    <row r="247" spans="1:4" x14ac:dyDescent="0.25">
      <c r="A247" s="30" t="s">
        <v>522</v>
      </c>
      <c r="B247" s="31" t="s">
        <v>521</v>
      </c>
      <c r="C247" s="261" t="s">
        <v>588</v>
      </c>
      <c r="D247" s="261">
        <v>3</v>
      </c>
    </row>
    <row r="248" spans="1:4" x14ac:dyDescent="0.25">
      <c r="A248" s="30" t="s">
        <v>559</v>
      </c>
      <c r="B248" s="31" t="s">
        <v>558</v>
      </c>
      <c r="C248" s="261" t="s">
        <v>648</v>
      </c>
      <c r="D248" s="261">
        <v>4</v>
      </c>
    </row>
    <row r="249" spans="1:4" x14ac:dyDescent="0.25">
      <c r="A249" s="30" t="s">
        <v>560</v>
      </c>
      <c r="B249" s="31">
        <v>2498864</v>
      </c>
      <c r="C249" s="261" t="s">
        <v>648</v>
      </c>
      <c r="D249" s="261">
        <v>4</v>
      </c>
    </row>
    <row r="250" spans="1:4" x14ac:dyDescent="0.25">
      <c r="A250" s="30" t="s">
        <v>562</v>
      </c>
      <c r="B250" s="31" t="s">
        <v>561</v>
      </c>
      <c r="C250" s="261" t="s">
        <v>588</v>
      </c>
      <c r="D250" s="261">
        <v>3</v>
      </c>
    </row>
    <row r="251" spans="1:4" x14ac:dyDescent="0.25">
      <c r="A251" s="30" t="s">
        <v>563</v>
      </c>
      <c r="B251" s="31">
        <v>258424</v>
      </c>
      <c r="C251" s="261" t="s">
        <v>648</v>
      </c>
      <c r="D251" s="261">
        <v>4</v>
      </c>
    </row>
    <row r="252" spans="1:4" x14ac:dyDescent="0.25">
      <c r="A252" s="30" t="s">
        <v>142</v>
      </c>
      <c r="B252" s="31">
        <v>4010</v>
      </c>
      <c r="C252" s="261">
        <v>0</v>
      </c>
      <c r="D252" s="261">
        <v>0</v>
      </c>
    </row>
    <row r="253" spans="1:4" x14ac:dyDescent="0.25">
      <c r="A253" s="30" t="s">
        <v>133</v>
      </c>
      <c r="B253" s="31">
        <v>3546</v>
      </c>
      <c r="C253" s="261" t="s">
        <v>626</v>
      </c>
      <c r="D253" s="261">
        <v>1</v>
      </c>
    </row>
    <row r="254" spans="1:4" x14ac:dyDescent="0.25">
      <c r="A254" s="30" t="s">
        <v>326</v>
      </c>
      <c r="B254" s="31">
        <v>1009</v>
      </c>
      <c r="C254" s="261" t="s">
        <v>589</v>
      </c>
      <c r="D254" s="261">
        <v>2</v>
      </c>
    </row>
    <row r="255" spans="1:4" x14ac:dyDescent="0.25">
      <c r="A255" s="30" t="s">
        <v>126</v>
      </c>
      <c r="B255" s="31">
        <v>3530</v>
      </c>
      <c r="C255" s="261" t="s">
        <v>626</v>
      </c>
      <c r="D255" s="261">
        <v>1</v>
      </c>
    </row>
    <row r="256" spans="1:4" x14ac:dyDescent="0.25">
      <c r="A256" s="30" t="s">
        <v>147</v>
      </c>
      <c r="B256" s="31">
        <v>5412</v>
      </c>
      <c r="C256" s="261">
        <v>0</v>
      </c>
      <c r="D256" s="261">
        <v>0</v>
      </c>
    </row>
    <row r="257" spans="1:4" x14ac:dyDescent="0.25">
      <c r="A257" s="30" t="s">
        <v>565</v>
      </c>
      <c r="B257" s="31" t="s">
        <v>564</v>
      </c>
      <c r="C257" s="8" t="s">
        <v>648</v>
      </c>
      <c r="D257" s="286">
        <v>4</v>
      </c>
    </row>
    <row r="258" spans="1:4" x14ac:dyDescent="0.25">
      <c r="A258" s="30" t="s">
        <v>567</v>
      </c>
      <c r="B258" s="31" t="s">
        <v>566</v>
      </c>
      <c r="C258" s="8" t="s">
        <v>588</v>
      </c>
      <c r="D258" s="286">
        <v>3</v>
      </c>
    </row>
    <row r="259" spans="1:4" x14ac:dyDescent="0.25">
      <c r="A259" s="30" t="s">
        <v>327</v>
      </c>
      <c r="B259" s="31">
        <v>1015</v>
      </c>
      <c r="C259" s="8" t="s">
        <v>589</v>
      </c>
      <c r="D259" s="286">
        <v>2</v>
      </c>
    </row>
    <row r="260" spans="1:4" x14ac:dyDescent="0.25">
      <c r="A260" s="30" t="s">
        <v>569</v>
      </c>
      <c r="B260" s="31" t="s">
        <v>568</v>
      </c>
      <c r="C260" s="8" t="s">
        <v>648</v>
      </c>
      <c r="D260" s="286">
        <v>4</v>
      </c>
    </row>
    <row r="261" spans="1:4" x14ac:dyDescent="0.25">
      <c r="A261" s="30" t="s">
        <v>570</v>
      </c>
      <c r="B261" s="31">
        <v>2568273</v>
      </c>
      <c r="C261" s="8" t="s">
        <v>648</v>
      </c>
      <c r="D261" s="286">
        <v>4</v>
      </c>
    </row>
    <row r="262" spans="1:4" x14ac:dyDescent="0.25">
      <c r="A262" s="30" t="s">
        <v>571</v>
      </c>
      <c r="B262" s="31">
        <v>509204</v>
      </c>
      <c r="C262" s="8" t="s">
        <v>648</v>
      </c>
      <c r="D262" s="286">
        <v>4</v>
      </c>
    </row>
    <row r="263" spans="1:4" x14ac:dyDescent="0.25">
      <c r="A263" s="30" t="s">
        <v>76</v>
      </c>
      <c r="B263" s="31">
        <v>2459</v>
      </c>
      <c r="C263" s="8" t="s">
        <v>603</v>
      </c>
      <c r="D263" s="286">
        <v>0</v>
      </c>
    </row>
    <row r="264" spans="1:4" x14ac:dyDescent="0.25">
      <c r="A264" s="30" t="s">
        <v>90</v>
      </c>
      <c r="B264" s="31">
        <v>2007</v>
      </c>
      <c r="C264" s="8" t="s">
        <v>626</v>
      </c>
      <c r="D264" s="286">
        <v>1</v>
      </c>
    </row>
    <row r="265" spans="1:4" x14ac:dyDescent="0.25">
      <c r="A265" s="30" t="s">
        <v>134</v>
      </c>
      <c r="B265" s="31">
        <v>4000</v>
      </c>
      <c r="C265" s="8" t="s">
        <v>626</v>
      </c>
      <c r="D265" s="286">
        <v>1</v>
      </c>
    </row>
  </sheetData>
  <sheetProtection algorithmName="SHA-512" hashValue="FZFKfJXmr3KsCf0Jm3/lo1C9nWnNaUxgk1aowMDoZFv+pzV+3oNqXBxN6kyqqCceq4C+aVDpCpQ7jVdJgQ+Bjw==" saltValue="nhjdnmjg6kLDq4ihjZN3DA==" spinCount="100000" sheet="1" objects="1" scenarios="1" autoFilter="0"/>
  <autoFilter ref="A6:D265" xr:uid="{C369A296-2817-486A-B6F9-9ECCAAB2AEB0}"/>
  <sortState xmlns:xlrd2="http://schemas.microsoft.com/office/spreadsheetml/2017/richdata2" ref="A7:D265">
    <sortCondition ref="A7:A265"/>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530A-5013-498B-8275-ACCD06914533}">
  <sheetPr codeName="Sheet20">
    <tabColor theme="9" tint="0.39997558519241921"/>
  </sheetPr>
  <dimension ref="A5:AB105"/>
  <sheetViews>
    <sheetView workbookViewId="0"/>
  </sheetViews>
  <sheetFormatPr defaultRowHeight="12.5" x14ac:dyDescent="0.25"/>
  <cols>
    <col min="1" max="1" width="13.54296875" customWidth="1"/>
    <col min="2" max="2" width="34.453125" bestFit="1" customWidth="1"/>
    <col min="3" max="3" width="12.81640625" customWidth="1"/>
    <col min="4" max="4" width="13.1796875" customWidth="1"/>
    <col min="5" max="5" width="12.81640625" customWidth="1"/>
    <col min="6" max="6" width="13.54296875" customWidth="1"/>
  </cols>
  <sheetData>
    <row r="5" spans="1:28" x14ac:dyDescent="0.25">
      <c r="B5" s="479" t="s">
        <v>1298</v>
      </c>
    </row>
    <row r="6" spans="1:28" ht="52" x14ac:dyDescent="0.25">
      <c r="A6" s="476" t="s">
        <v>1158</v>
      </c>
      <c r="B6" s="476" t="s">
        <v>268</v>
      </c>
      <c r="C6" s="476" t="s">
        <v>1155</v>
      </c>
      <c r="D6" s="476" t="s">
        <v>1156</v>
      </c>
      <c r="E6" s="476" t="s">
        <v>1157</v>
      </c>
      <c r="F6" s="476" t="s">
        <v>1158</v>
      </c>
      <c r="G6" s="476" t="s">
        <v>1159</v>
      </c>
      <c r="H6" s="476" t="s">
        <v>1160</v>
      </c>
      <c r="I6" s="476" t="s">
        <v>1161</v>
      </c>
      <c r="J6" s="476" t="s">
        <v>1162</v>
      </c>
      <c r="K6" s="476" t="s">
        <v>1163</v>
      </c>
      <c r="L6" s="476" t="s">
        <v>1164</v>
      </c>
      <c r="M6" s="476" t="s">
        <v>1165</v>
      </c>
      <c r="N6" s="476" t="s">
        <v>1166</v>
      </c>
      <c r="O6" s="476" t="s">
        <v>1167</v>
      </c>
      <c r="P6" s="476" t="s">
        <v>1168</v>
      </c>
      <c r="Q6" s="476" t="s">
        <v>1169</v>
      </c>
      <c r="R6" s="476" t="s">
        <v>1170</v>
      </c>
      <c r="S6" s="476" t="s">
        <v>1171</v>
      </c>
      <c r="T6" s="476" t="s">
        <v>1172</v>
      </c>
      <c r="U6" s="476" t="s">
        <v>1173</v>
      </c>
      <c r="V6" s="476" t="s">
        <v>1174</v>
      </c>
      <c r="W6" s="476" t="s">
        <v>1175</v>
      </c>
      <c r="X6" s="476" t="s">
        <v>1176</v>
      </c>
      <c r="Y6" s="476" t="s">
        <v>1177</v>
      </c>
      <c r="Z6" s="476" t="s">
        <v>1178</v>
      </c>
      <c r="AA6" s="476" t="s">
        <v>1179</v>
      </c>
      <c r="AB6" s="476" t="s">
        <v>1180</v>
      </c>
    </row>
    <row r="7" spans="1:28" ht="13" x14ac:dyDescent="0.25">
      <c r="A7" s="24" t="str">
        <f>F7</f>
        <v>CLICK ON THE ARROW BUTTON TO SELECT YOUR SCHOOL FROM THE LIST</v>
      </c>
      <c r="B7" s="25">
        <v>12345</v>
      </c>
      <c r="C7" s="476"/>
      <c r="D7" s="476"/>
      <c r="E7" s="476"/>
      <c r="F7" s="24" t="s">
        <v>757</v>
      </c>
      <c r="G7" s="476"/>
      <c r="H7" s="476"/>
      <c r="I7" s="476"/>
      <c r="J7" s="476"/>
      <c r="K7" s="476"/>
      <c r="L7" s="476"/>
      <c r="M7" s="476"/>
      <c r="N7" s="476"/>
      <c r="O7" s="476"/>
      <c r="P7" s="476"/>
      <c r="Q7" s="476"/>
      <c r="R7" s="476"/>
      <c r="S7" s="476"/>
      <c r="T7" s="476"/>
      <c r="U7" s="476"/>
      <c r="V7" s="476"/>
      <c r="W7" s="476"/>
      <c r="X7" s="476"/>
      <c r="Y7" s="476"/>
      <c r="Z7" s="476"/>
      <c r="AA7" s="476"/>
      <c r="AB7" s="476"/>
    </row>
    <row r="8" spans="1:28" ht="14.5" x14ac:dyDescent="0.35">
      <c r="A8" s="24" t="str">
        <f t="shared" ref="A8:A65" si="0">F8</f>
        <v>All Providers</v>
      </c>
      <c r="B8" s="436" t="s">
        <v>1153</v>
      </c>
      <c r="C8" s="476"/>
      <c r="D8" s="476"/>
      <c r="E8" s="476"/>
      <c r="F8" s="476" t="s">
        <v>751</v>
      </c>
      <c r="G8" s="476"/>
      <c r="H8" s="476"/>
      <c r="I8" s="476"/>
      <c r="J8" s="476"/>
      <c r="K8" s="476"/>
      <c r="L8" s="476"/>
      <c r="M8" s="476"/>
      <c r="N8" s="476"/>
      <c r="O8" s="476"/>
      <c r="P8" s="476"/>
      <c r="Q8" s="476"/>
      <c r="R8" s="476"/>
      <c r="S8" s="476"/>
      <c r="T8" s="476"/>
      <c r="U8" s="476"/>
      <c r="V8" s="476"/>
      <c r="W8" s="476"/>
      <c r="X8" s="476"/>
      <c r="Y8" s="476"/>
      <c r="Z8" s="476"/>
      <c r="AA8" s="476"/>
      <c r="AB8" s="476"/>
    </row>
    <row r="9" spans="1:28" x14ac:dyDescent="0.25">
      <c r="A9" s="24" t="str">
        <f t="shared" si="0"/>
        <v>Akaal Primary School</v>
      </c>
      <c r="B9" s="477">
        <v>150481</v>
      </c>
      <c r="C9" s="478" t="s">
        <v>1181</v>
      </c>
      <c r="D9" s="478" t="s">
        <v>1182</v>
      </c>
      <c r="E9" s="477">
        <v>2029</v>
      </c>
      <c r="F9" s="478" t="s">
        <v>97</v>
      </c>
      <c r="G9" s="478" t="s">
        <v>1239</v>
      </c>
      <c r="H9" s="478" t="s">
        <v>1185</v>
      </c>
      <c r="I9" s="478" t="s">
        <v>1295</v>
      </c>
      <c r="J9" s="478" t="s">
        <v>150</v>
      </c>
      <c r="K9" s="478" t="s">
        <v>265</v>
      </c>
      <c r="L9" s="477">
        <v>4</v>
      </c>
      <c r="M9" s="477">
        <v>11</v>
      </c>
      <c r="N9" s="478" t="s">
        <v>1187</v>
      </c>
      <c r="O9" s="478" t="s">
        <v>1206</v>
      </c>
      <c r="P9" s="478" t="s">
        <v>1205</v>
      </c>
      <c r="Q9" s="478" t="s">
        <v>1190</v>
      </c>
      <c r="R9" s="478" t="s">
        <v>1296</v>
      </c>
      <c r="S9" s="478" t="s">
        <v>1213</v>
      </c>
      <c r="T9" s="478" t="s">
        <v>150</v>
      </c>
      <c r="U9" s="478" t="s">
        <v>150</v>
      </c>
      <c r="V9" s="478" t="s">
        <v>1222</v>
      </c>
      <c r="W9" s="478" t="s">
        <v>1297</v>
      </c>
      <c r="X9" s="478" t="s">
        <v>1230</v>
      </c>
      <c r="Y9" s="478" t="s">
        <v>150</v>
      </c>
      <c r="Z9" s="478" t="s">
        <v>1189</v>
      </c>
      <c r="AA9" s="478" t="s">
        <v>150</v>
      </c>
      <c r="AB9" s="477">
        <v>10094334</v>
      </c>
    </row>
    <row r="10" spans="1:28" x14ac:dyDescent="0.25">
      <c r="A10" s="24" t="str">
        <f t="shared" si="0"/>
        <v>Allenton Primary School</v>
      </c>
      <c r="B10" s="477">
        <v>141324</v>
      </c>
      <c r="C10" s="478" t="s">
        <v>1181</v>
      </c>
      <c r="D10" s="478" t="s">
        <v>1182</v>
      </c>
      <c r="E10" s="477">
        <v>2012</v>
      </c>
      <c r="F10" s="478" t="s">
        <v>95</v>
      </c>
      <c r="G10" s="478" t="s">
        <v>1220</v>
      </c>
      <c r="H10" s="478" t="s">
        <v>1185</v>
      </c>
      <c r="I10" s="478" t="s">
        <v>1249</v>
      </c>
      <c r="J10" s="478" t="s">
        <v>150</v>
      </c>
      <c r="K10" s="478" t="s">
        <v>265</v>
      </c>
      <c r="L10" s="477">
        <v>5</v>
      </c>
      <c r="M10" s="477">
        <v>11</v>
      </c>
      <c r="N10" s="478" t="s">
        <v>1187</v>
      </c>
      <c r="O10" s="478" t="s">
        <v>1206</v>
      </c>
      <c r="P10" s="478" t="s">
        <v>1205</v>
      </c>
      <c r="Q10" s="478" t="s">
        <v>1190</v>
      </c>
      <c r="R10" s="478" t="s">
        <v>1191</v>
      </c>
      <c r="S10" s="478" t="s">
        <v>1213</v>
      </c>
      <c r="T10" s="478" t="s">
        <v>1189</v>
      </c>
      <c r="U10" s="478" t="s">
        <v>1189</v>
      </c>
      <c r="V10" s="478" t="s">
        <v>1222</v>
      </c>
      <c r="W10" s="478" t="s">
        <v>1241</v>
      </c>
      <c r="X10" s="478" t="s">
        <v>1224</v>
      </c>
      <c r="Y10" s="478" t="s">
        <v>1242</v>
      </c>
      <c r="Z10" s="478" t="s">
        <v>1189</v>
      </c>
      <c r="AA10" s="478" t="s">
        <v>150</v>
      </c>
      <c r="AB10" s="477">
        <v>10047443</v>
      </c>
    </row>
    <row r="11" spans="1:28" x14ac:dyDescent="0.25">
      <c r="A11" s="24" t="str">
        <f t="shared" si="0"/>
        <v>Allestree Woodlands School</v>
      </c>
      <c r="B11" s="477">
        <v>137911</v>
      </c>
      <c r="C11" s="478" t="s">
        <v>1181</v>
      </c>
      <c r="D11" s="478" t="s">
        <v>1182</v>
      </c>
      <c r="E11" s="477">
        <v>5414</v>
      </c>
      <c r="F11" s="478" t="s">
        <v>148</v>
      </c>
      <c r="G11" s="478" t="s">
        <v>1226</v>
      </c>
      <c r="H11" s="478" t="s">
        <v>1185</v>
      </c>
      <c r="I11" s="478" t="s">
        <v>1231</v>
      </c>
      <c r="J11" s="478" t="s">
        <v>150</v>
      </c>
      <c r="K11" s="478" t="s">
        <v>197</v>
      </c>
      <c r="L11" s="477">
        <v>11</v>
      </c>
      <c r="M11" s="477">
        <v>18</v>
      </c>
      <c r="N11" s="478" t="s">
        <v>1187</v>
      </c>
      <c r="O11" s="478" t="s">
        <v>1189</v>
      </c>
      <c r="P11" s="478" t="s">
        <v>1212</v>
      </c>
      <c r="Q11" s="478" t="s">
        <v>1190</v>
      </c>
      <c r="R11" s="478" t="s">
        <v>1213</v>
      </c>
      <c r="S11" s="478" t="s">
        <v>1191</v>
      </c>
      <c r="T11" s="478" t="s">
        <v>1189</v>
      </c>
      <c r="U11" s="478" t="s">
        <v>1214</v>
      </c>
      <c r="V11" s="478" t="s">
        <v>1228</v>
      </c>
      <c r="W11" s="478" t="s">
        <v>1154</v>
      </c>
      <c r="X11" s="478" t="s">
        <v>1230</v>
      </c>
      <c r="Y11" s="478" t="s">
        <v>150</v>
      </c>
      <c r="Z11" s="478" t="s">
        <v>1189</v>
      </c>
      <c r="AA11" s="478" t="s">
        <v>150</v>
      </c>
      <c r="AB11" s="477">
        <v>10036749</v>
      </c>
    </row>
    <row r="12" spans="1:28" x14ac:dyDescent="0.25">
      <c r="A12" s="24" t="str">
        <f t="shared" si="0"/>
        <v>Alvaston Infant and Nursery School</v>
      </c>
      <c r="B12" s="477">
        <v>112744</v>
      </c>
      <c r="C12" s="478" t="s">
        <v>1181</v>
      </c>
      <c r="D12" s="478" t="s">
        <v>1182</v>
      </c>
      <c r="E12" s="477">
        <v>2443</v>
      </c>
      <c r="F12" s="478" t="s">
        <v>70</v>
      </c>
      <c r="G12" s="478" t="s">
        <v>1204</v>
      </c>
      <c r="H12" s="478" t="s">
        <v>1185</v>
      </c>
      <c r="I12" s="478" t="s">
        <v>150</v>
      </c>
      <c r="J12" s="478" t="s">
        <v>150</v>
      </c>
      <c r="K12" s="478" t="s">
        <v>265</v>
      </c>
      <c r="L12" s="477">
        <v>3</v>
      </c>
      <c r="M12" s="477">
        <v>7</v>
      </c>
      <c r="N12" s="478" t="s">
        <v>1187</v>
      </c>
      <c r="O12" s="478" t="s">
        <v>1188</v>
      </c>
      <c r="P12" s="478" t="s">
        <v>1205</v>
      </c>
      <c r="Q12" s="478" t="s">
        <v>1190</v>
      </c>
      <c r="R12" s="478" t="s">
        <v>1191</v>
      </c>
      <c r="S12" s="478" t="s">
        <v>1191</v>
      </c>
      <c r="T12" s="478" t="s">
        <v>1189</v>
      </c>
      <c r="U12" s="478" t="s">
        <v>1189</v>
      </c>
      <c r="V12" s="478" t="s">
        <v>1189</v>
      </c>
      <c r="W12" s="478" t="s">
        <v>150</v>
      </c>
      <c r="X12" s="478" t="s">
        <v>1189</v>
      </c>
      <c r="Y12" s="478" t="s">
        <v>150</v>
      </c>
      <c r="Z12" s="478" t="s">
        <v>1192</v>
      </c>
      <c r="AA12" s="478" t="s">
        <v>150</v>
      </c>
      <c r="AB12" s="477">
        <v>10076479</v>
      </c>
    </row>
    <row r="13" spans="1:28" x14ac:dyDescent="0.25">
      <c r="A13" s="24" t="str">
        <f t="shared" si="0"/>
        <v>Alvaston Junior Academy</v>
      </c>
      <c r="B13" s="477">
        <v>145759</v>
      </c>
      <c r="C13" s="478" t="s">
        <v>1181</v>
      </c>
      <c r="D13" s="478" t="s">
        <v>1182</v>
      </c>
      <c r="E13" s="477">
        <v>2442</v>
      </c>
      <c r="F13" s="478" t="s">
        <v>111</v>
      </c>
      <c r="G13" s="478" t="s">
        <v>1226</v>
      </c>
      <c r="H13" s="478" t="s">
        <v>1185</v>
      </c>
      <c r="I13" s="478" t="s">
        <v>1270</v>
      </c>
      <c r="J13" s="478" t="s">
        <v>150</v>
      </c>
      <c r="K13" s="478" t="s">
        <v>265</v>
      </c>
      <c r="L13" s="477">
        <v>7</v>
      </c>
      <c r="M13" s="477">
        <v>11</v>
      </c>
      <c r="N13" s="478" t="s">
        <v>1187</v>
      </c>
      <c r="O13" s="478" t="s">
        <v>1206</v>
      </c>
      <c r="P13" s="478" t="s">
        <v>1205</v>
      </c>
      <c r="Q13" s="478" t="s">
        <v>1190</v>
      </c>
      <c r="R13" s="478" t="s">
        <v>1191</v>
      </c>
      <c r="S13" s="478" t="s">
        <v>1191</v>
      </c>
      <c r="T13" s="478" t="s">
        <v>1189</v>
      </c>
      <c r="U13" s="478" t="s">
        <v>1189</v>
      </c>
      <c r="V13" s="478" t="s">
        <v>1222</v>
      </c>
      <c r="W13" s="478" t="s">
        <v>1264</v>
      </c>
      <c r="X13" s="478" t="s">
        <v>1224</v>
      </c>
      <c r="Y13" s="478" t="s">
        <v>1265</v>
      </c>
      <c r="Z13" s="478" t="s">
        <v>1189</v>
      </c>
      <c r="AA13" s="478" t="s">
        <v>150</v>
      </c>
      <c r="AB13" s="477">
        <v>10068490</v>
      </c>
    </row>
    <row r="14" spans="1:28" x14ac:dyDescent="0.25">
      <c r="A14" s="24" t="str">
        <f t="shared" si="0"/>
        <v>Alvaston Moor Academy</v>
      </c>
      <c r="B14" s="477">
        <v>148538</v>
      </c>
      <c r="C14" s="478" t="s">
        <v>1181</v>
      </c>
      <c r="D14" s="478" t="s">
        <v>1182</v>
      </c>
      <c r="E14" s="477">
        <v>4011</v>
      </c>
      <c r="F14" s="478" t="s">
        <v>143</v>
      </c>
      <c r="G14" s="478" t="s">
        <v>1220</v>
      </c>
      <c r="H14" s="478" t="s">
        <v>1185</v>
      </c>
      <c r="I14" s="478" t="s">
        <v>1291</v>
      </c>
      <c r="J14" s="478" t="s">
        <v>150</v>
      </c>
      <c r="K14" s="478" t="s">
        <v>197</v>
      </c>
      <c r="L14" s="477">
        <v>11</v>
      </c>
      <c r="M14" s="477">
        <v>19</v>
      </c>
      <c r="N14" s="478" t="s">
        <v>1187</v>
      </c>
      <c r="O14" s="478" t="s">
        <v>1206</v>
      </c>
      <c r="P14" s="478" t="s">
        <v>1212</v>
      </c>
      <c r="Q14" s="478" t="s">
        <v>1190</v>
      </c>
      <c r="R14" s="478" t="s">
        <v>1213</v>
      </c>
      <c r="S14" s="478" t="s">
        <v>1213</v>
      </c>
      <c r="T14" s="478" t="s">
        <v>1189</v>
      </c>
      <c r="U14" s="478" t="s">
        <v>1214</v>
      </c>
      <c r="V14" s="478" t="s">
        <v>1222</v>
      </c>
      <c r="W14" s="478" t="s">
        <v>1257</v>
      </c>
      <c r="X14" s="478" t="s">
        <v>1224</v>
      </c>
      <c r="Y14" s="478" t="s">
        <v>1258</v>
      </c>
      <c r="Z14" s="478" t="s">
        <v>1189</v>
      </c>
      <c r="AA14" s="478" t="s">
        <v>150</v>
      </c>
      <c r="AB14" s="477">
        <v>10087909</v>
      </c>
    </row>
    <row r="15" spans="1:28" x14ac:dyDescent="0.25">
      <c r="A15" s="24" t="str">
        <f t="shared" si="0"/>
        <v>Arboretum Primary School</v>
      </c>
      <c r="B15" s="477">
        <v>146715</v>
      </c>
      <c r="C15" s="478" t="s">
        <v>1181</v>
      </c>
      <c r="D15" s="478" t="s">
        <v>1182</v>
      </c>
      <c r="E15" s="477">
        <v>2629</v>
      </c>
      <c r="F15" s="478" t="s">
        <v>123</v>
      </c>
      <c r="G15" s="478" t="s">
        <v>1226</v>
      </c>
      <c r="H15" s="478" t="s">
        <v>1185</v>
      </c>
      <c r="I15" s="478" t="s">
        <v>1279</v>
      </c>
      <c r="J15" s="478" t="s">
        <v>150</v>
      </c>
      <c r="K15" s="478" t="s">
        <v>265</v>
      </c>
      <c r="L15" s="477">
        <v>2</v>
      </c>
      <c r="M15" s="477">
        <v>11</v>
      </c>
      <c r="N15" s="478" t="s">
        <v>1187</v>
      </c>
      <c r="O15" s="478" t="s">
        <v>1188</v>
      </c>
      <c r="P15" s="478" t="s">
        <v>1205</v>
      </c>
      <c r="Q15" s="478" t="s">
        <v>1190</v>
      </c>
      <c r="R15" s="478" t="s">
        <v>1191</v>
      </c>
      <c r="S15" s="478" t="s">
        <v>1191</v>
      </c>
      <c r="T15" s="478" t="s">
        <v>1189</v>
      </c>
      <c r="U15" s="478" t="s">
        <v>1189</v>
      </c>
      <c r="V15" s="478" t="s">
        <v>1222</v>
      </c>
      <c r="W15" s="478" t="s">
        <v>1247</v>
      </c>
      <c r="X15" s="478" t="s">
        <v>1224</v>
      </c>
      <c r="Y15" s="478" t="s">
        <v>1248</v>
      </c>
      <c r="Z15" s="478" t="s">
        <v>1189</v>
      </c>
      <c r="AA15" s="478" t="s">
        <v>150</v>
      </c>
      <c r="AB15" s="477">
        <v>10082361</v>
      </c>
    </row>
    <row r="16" spans="1:28" x14ac:dyDescent="0.25">
      <c r="A16" s="24" t="str">
        <f t="shared" si="0"/>
        <v>Ash Croft Primary Academy</v>
      </c>
      <c r="B16" s="477">
        <v>145806</v>
      </c>
      <c r="C16" s="478" t="s">
        <v>1181</v>
      </c>
      <c r="D16" s="478" t="s">
        <v>1182</v>
      </c>
      <c r="E16" s="477">
        <v>2509</v>
      </c>
      <c r="F16" s="478" t="s">
        <v>120</v>
      </c>
      <c r="G16" s="478" t="s">
        <v>1226</v>
      </c>
      <c r="H16" s="478" t="s">
        <v>1185</v>
      </c>
      <c r="I16" s="478" t="s">
        <v>1272</v>
      </c>
      <c r="J16" s="478" t="s">
        <v>150</v>
      </c>
      <c r="K16" s="478" t="s">
        <v>265</v>
      </c>
      <c r="L16" s="477">
        <v>3</v>
      </c>
      <c r="M16" s="477">
        <v>11</v>
      </c>
      <c r="N16" s="478" t="s">
        <v>1187</v>
      </c>
      <c r="O16" s="478" t="s">
        <v>1188</v>
      </c>
      <c r="P16" s="478" t="s">
        <v>1205</v>
      </c>
      <c r="Q16" s="478" t="s">
        <v>1190</v>
      </c>
      <c r="R16" s="478" t="s">
        <v>1191</v>
      </c>
      <c r="S16" s="478" t="s">
        <v>1191</v>
      </c>
      <c r="T16" s="478" t="s">
        <v>1189</v>
      </c>
      <c r="U16" s="478" t="s">
        <v>1189</v>
      </c>
      <c r="V16" s="478" t="s">
        <v>1222</v>
      </c>
      <c r="W16" s="478" t="s">
        <v>1264</v>
      </c>
      <c r="X16" s="478" t="s">
        <v>1224</v>
      </c>
      <c r="Y16" s="478" t="s">
        <v>1265</v>
      </c>
      <c r="Z16" s="478" t="s">
        <v>1189</v>
      </c>
      <c r="AA16" s="478" t="s">
        <v>150</v>
      </c>
      <c r="AB16" s="477">
        <v>10067767</v>
      </c>
    </row>
    <row r="17" spans="1:28" x14ac:dyDescent="0.25">
      <c r="A17" s="24" t="str">
        <f t="shared" si="0"/>
        <v>Ashgate Nursery School</v>
      </c>
      <c r="B17" s="477">
        <v>112479</v>
      </c>
      <c r="C17" s="478" t="s">
        <v>1181</v>
      </c>
      <c r="D17" s="478" t="s">
        <v>1182</v>
      </c>
      <c r="E17" s="477">
        <v>1014</v>
      </c>
      <c r="F17" s="478" t="s">
        <v>1202</v>
      </c>
      <c r="G17" s="478" t="s">
        <v>1184</v>
      </c>
      <c r="H17" s="478" t="s">
        <v>1185</v>
      </c>
      <c r="I17" s="478" t="s">
        <v>150</v>
      </c>
      <c r="J17" s="478" t="s">
        <v>150</v>
      </c>
      <c r="K17" s="478" t="s">
        <v>1186</v>
      </c>
      <c r="L17" s="477">
        <v>2</v>
      </c>
      <c r="M17" s="477">
        <v>5</v>
      </c>
      <c r="N17" s="478" t="s">
        <v>1187</v>
      </c>
      <c r="O17" s="478" t="s">
        <v>1188</v>
      </c>
      <c r="P17" s="478" t="s">
        <v>1189</v>
      </c>
      <c r="Q17" s="478" t="s">
        <v>1190</v>
      </c>
      <c r="R17" s="478" t="s">
        <v>1191</v>
      </c>
      <c r="S17" s="478" t="s">
        <v>1191</v>
      </c>
      <c r="T17" s="478" t="s">
        <v>1189</v>
      </c>
      <c r="U17" s="478" t="s">
        <v>1189</v>
      </c>
      <c r="V17" s="478" t="s">
        <v>1189</v>
      </c>
      <c r="W17" s="478" t="s">
        <v>150</v>
      </c>
      <c r="X17" s="478" t="s">
        <v>1189</v>
      </c>
      <c r="Y17" s="478" t="s">
        <v>150</v>
      </c>
      <c r="Z17" s="478" t="s">
        <v>1194</v>
      </c>
      <c r="AA17" s="478" t="s">
        <v>1195</v>
      </c>
      <c r="AB17" s="478" t="s">
        <v>150</v>
      </c>
    </row>
    <row r="18" spans="1:28" x14ac:dyDescent="0.25">
      <c r="A18" s="24" t="str">
        <f t="shared" si="0"/>
        <v>Ashgate Primary School</v>
      </c>
      <c r="B18" s="477">
        <v>131685</v>
      </c>
      <c r="C18" s="478" t="s">
        <v>1181</v>
      </c>
      <c r="D18" s="478" t="s">
        <v>1182</v>
      </c>
      <c r="E18" s="477">
        <v>2005</v>
      </c>
      <c r="F18" s="478" t="s">
        <v>63</v>
      </c>
      <c r="G18" s="478" t="s">
        <v>1204</v>
      </c>
      <c r="H18" s="478" t="s">
        <v>1185</v>
      </c>
      <c r="I18" s="478" t="s">
        <v>1219</v>
      </c>
      <c r="J18" s="478" t="s">
        <v>150</v>
      </c>
      <c r="K18" s="478" t="s">
        <v>265</v>
      </c>
      <c r="L18" s="477">
        <v>4</v>
      </c>
      <c r="M18" s="477">
        <v>11</v>
      </c>
      <c r="N18" s="478" t="s">
        <v>1187</v>
      </c>
      <c r="O18" s="478" t="s">
        <v>1206</v>
      </c>
      <c r="P18" s="478" t="s">
        <v>1205</v>
      </c>
      <c r="Q18" s="478" t="s">
        <v>1190</v>
      </c>
      <c r="R18" s="478" t="s">
        <v>1191</v>
      </c>
      <c r="S18" s="478" t="s">
        <v>1191</v>
      </c>
      <c r="T18" s="478" t="s">
        <v>1189</v>
      </c>
      <c r="U18" s="478" t="s">
        <v>1189</v>
      </c>
      <c r="V18" s="478" t="s">
        <v>1189</v>
      </c>
      <c r="W18" s="478" t="s">
        <v>150</v>
      </c>
      <c r="X18" s="478" t="s">
        <v>1189</v>
      </c>
      <c r="Y18" s="478" t="s">
        <v>150</v>
      </c>
      <c r="Z18" s="478" t="s">
        <v>1192</v>
      </c>
      <c r="AA18" s="478" t="s">
        <v>150</v>
      </c>
      <c r="AB18" s="477">
        <v>10076702</v>
      </c>
    </row>
    <row r="19" spans="1:28" x14ac:dyDescent="0.25">
      <c r="A19" s="24" t="str">
        <f t="shared" si="0"/>
        <v>Ashwood Spencer Academy</v>
      </c>
      <c r="B19" s="477">
        <v>146079</v>
      </c>
      <c r="C19" s="478" t="s">
        <v>1181</v>
      </c>
      <c r="D19" s="478" t="s">
        <v>1182</v>
      </c>
      <c r="E19" s="477">
        <v>2021</v>
      </c>
      <c r="F19" s="478" t="s">
        <v>103</v>
      </c>
      <c r="G19" s="478" t="s">
        <v>1220</v>
      </c>
      <c r="H19" s="478" t="s">
        <v>1185</v>
      </c>
      <c r="I19" s="478" t="s">
        <v>1273</v>
      </c>
      <c r="J19" s="478" t="s">
        <v>150</v>
      </c>
      <c r="K19" s="478" t="s">
        <v>265</v>
      </c>
      <c r="L19" s="477">
        <v>3</v>
      </c>
      <c r="M19" s="477">
        <v>11</v>
      </c>
      <c r="N19" s="478" t="s">
        <v>1187</v>
      </c>
      <c r="O19" s="478" t="s">
        <v>1188</v>
      </c>
      <c r="P19" s="478" t="s">
        <v>1205</v>
      </c>
      <c r="Q19" s="478" t="s">
        <v>1190</v>
      </c>
      <c r="R19" s="478" t="s">
        <v>1191</v>
      </c>
      <c r="S19" s="478" t="s">
        <v>1191</v>
      </c>
      <c r="T19" s="478" t="s">
        <v>1189</v>
      </c>
      <c r="U19" s="478" t="s">
        <v>1189</v>
      </c>
      <c r="V19" s="478" t="s">
        <v>1222</v>
      </c>
      <c r="W19" s="478" t="s">
        <v>1233</v>
      </c>
      <c r="X19" s="478" t="s">
        <v>1224</v>
      </c>
      <c r="Y19" s="478" t="s">
        <v>1234</v>
      </c>
      <c r="Z19" s="478" t="s">
        <v>1189</v>
      </c>
      <c r="AA19" s="478" t="s">
        <v>150</v>
      </c>
      <c r="AB19" s="477">
        <v>10081422</v>
      </c>
    </row>
    <row r="20" spans="1:28" x14ac:dyDescent="0.25">
      <c r="A20" s="24" t="str">
        <f t="shared" si="0"/>
        <v>Asterdale Primary School</v>
      </c>
      <c r="B20" s="477">
        <v>146855</v>
      </c>
      <c r="C20" s="478" t="s">
        <v>1181</v>
      </c>
      <c r="D20" s="478" t="s">
        <v>1182</v>
      </c>
      <c r="E20" s="477">
        <v>2464</v>
      </c>
      <c r="F20" s="478" t="s">
        <v>116</v>
      </c>
      <c r="G20" s="478" t="s">
        <v>1226</v>
      </c>
      <c r="H20" s="478" t="s">
        <v>1185</v>
      </c>
      <c r="I20" s="478" t="s">
        <v>1280</v>
      </c>
      <c r="J20" s="478" t="s">
        <v>150</v>
      </c>
      <c r="K20" s="478" t="s">
        <v>265</v>
      </c>
      <c r="L20" s="477">
        <v>3</v>
      </c>
      <c r="M20" s="477">
        <v>11</v>
      </c>
      <c r="N20" s="478" t="s">
        <v>1187</v>
      </c>
      <c r="O20" s="478" t="s">
        <v>1188</v>
      </c>
      <c r="P20" s="478" t="s">
        <v>1205</v>
      </c>
      <c r="Q20" s="478" t="s">
        <v>1190</v>
      </c>
      <c r="R20" s="478" t="s">
        <v>1191</v>
      </c>
      <c r="S20" s="478" t="s">
        <v>1191</v>
      </c>
      <c r="T20" s="478" t="s">
        <v>1189</v>
      </c>
      <c r="U20" s="478" t="s">
        <v>1189</v>
      </c>
      <c r="V20" s="478" t="s">
        <v>1222</v>
      </c>
      <c r="W20" s="478" t="s">
        <v>1281</v>
      </c>
      <c r="X20" s="478" t="s">
        <v>1230</v>
      </c>
      <c r="Y20" s="478" t="s">
        <v>150</v>
      </c>
      <c r="Z20" s="478" t="s">
        <v>1189</v>
      </c>
      <c r="AA20" s="478" t="s">
        <v>150</v>
      </c>
      <c r="AB20" s="477">
        <v>10082665</v>
      </c>
    </row>
    <row r="21" spans="1:28" x14ac:dyDescent="0.25">
      <c r="A21" s="24" t="str">
        <f t="shared" si="0"/>
        <v>Beaufort Community Primary School</v>
      </c>
      <c r="B21" s="477">
        <v>146877</v>
      </c>
      <c r="C21" s="478" t="s">
        <v>1181</v>
      </c>
      <c r="D21" s="478" t="s">
        <v>1182</v>
      </c>
      <c r="E21" s="477">
        <v>2004</v>
      </c>
      <c r="F21" s="478" t="s">
        <v>88</v>
      </c>
      <c r="G21" s="478" t="s">
        <v>1226</v>
      </c>
      <c r="H21" s="478" t="s">
        <v>1185</v>
      </c>
      <c r="I21" s="478" t="s">
        <v>1278</v>
      </c>
      <c r="J21" s="478" t="s">
        <v>150</v>
      </c>
      <c r="K21" s="478" t="s">
        <v>265</v>
      </c>
      <c r="L21" s="477">
        <v>3</v>
      </c>
      <c r="M21" s="477">
        <v>11</v>
      </c>
      <c r="N21" s="478" t="s">
        <v>1187</v>
      </c>
      <c r="O21" s="478" t="s">
        <v>1188</v>
      </c>
      <c r="P21" s="478" t="s">
        <v>1205</v>
      </c>
      <c r="Q21" s="478" t="s">
        <v>1190</v>
      </c>
      <c r="R21" s="478" t="s">
        <v>1191</v>
      </c>
      <c r="S21" s="478" t="s">
        <v>1191</v>
      </c>
      <c r="T21" s="478" t="s">
        <v>1189</v>
      </c>
      <c r="U21" s="478" t="s">
        <v>1189</v>
      </c>
      <c r="V21" s="478" t="s">
        <v>1222</v>
      </c>
      <c r="W21" s="478" t="s">
        <v>1281</v>
      </c>
      <c r="X21" s="478" t="s">
        <v>1230</v>
      </c>
      <c r="Y21" s="478" t="s">
        <v>150</v>
      </c>
      <c r="Z21" s="478" t="s">
        <v>1189</v>
      </c>
      <c r="AA21" s="478" t="s">
        <v>150</v>
      </c>
      <c r="AB21" s="477">
        <v>10083000</v>
      </c>
    </row>
    <row r="22" spans="1:28" x14ac:dyDescent="0.25">
      <c r="A22" s="24" t="str">
        <f t="shared" si="0"/>
        <v>Becket Primary School</v>
      </c>
      <c r="B22" s="477">
        <v>112717</v>
      </c>
      <c r="C22" s="478" t="s">
        <v>1181</v>
      </c>
      <c r="D22" s="478" t="s">
        <v>1182</v>
      </c>
      <c r="E22" s="477">
        <v>2405</v>
      </c>
      <c r="F22" s="478" t="s">
        <v>64</v>
      </c>
      <c r="G22" s="478" t="s">
        <v>1204</v>
      </c>
      <c r="H22" s="478" t="s">
        <v>1185</v>
      </c>
      <c r="I22" s="478" t="s">
        <v>150</v>
      </c>
      <c r="J22" s="478" t="s">
        <v>150</v>
      </c>
      <c r="K22" s="478" t="s">
        <v>265</v>
      </c>
      <c r="L22" s="477">
        <v>3</v>
      </c>
      <c r="M22" s="477">
        <v>11</v>
      </c>
      <c r="N22" s="478" t="s">
        <v>1187</v>
      </c>
      <c r="O22" s="478" t="s">
        <v>1188</v>
      </c>
      <c r="P22" s="478" t="s">
        <v>1205</v>
      </c>
      <c r="Q22" s="478" t="s">
        <v>1190</v>
      </c>
      <c r="R22" s="478" t="s">
        <v>1191</v>
      </c>
      <c r="S22" s="478" t="s">
        <v>1191</v>
      </c>
      <c r="T22" s="478" t="s">
        <v>1189</v>
      </c>
      <c r="U22" s="478" t="s">
        <v>1189</v>
      </c>
      <c r="V22" s="478" t="s">
        <v>1189</v>
      </c>
      <c r="W22" s="478" t="s">
        <v>150</v>
      </c>
      <c r="X22" s="478" t="s">
        <v>1189</v>
      </c>
      <c r="Y22" s="478" t="s">
        <v>150</v>
      </c>
      <c r="Z22" s="478" t="s">
        <v>1192</v>
      </c>
      <c r="AA22" s="478" t="s">
        <v>150</v>
      </c>
      <c r="AB22" s="477">
        <v>10077261</v>
      </c>
    </row>
    <row r="23" spans="1:28" x14ac:dyDescent="0.25">
      <c r="A23" s="24" t="str">
        <f t="shared" si="0"/>
        <v>Bishop Lonsdale Church of England Primary School and Nursery</v>
      </c>
      <c r="B23" s="477">
        <v>140842</v>
      </c>
      <c r="C23" s="478" t="s">
        <v>1181</v>
      </c>
      <c r="D23" s="478" t="s">
        <v>1182</v>
      </c>
      <c r="E23" s="477">
        <v>2011</v>
      </c>
      <c r="F23" s="478" t="s">
        <v>94</v>
      </c>
      <c r="G23" s="478" t="s">
        <v>1220</v>
      </c>
      <c r="H23" s="478" t="s">
        <v>1185</v>
      </c>
      <c r="I23" s="478" t="s">
        <v>1246</v>
      </c>
      <c r="J23" s="478" t="s">
        <v>150</v>
      </c>
      <c r="K23" s="478" t="s">
        <v>265</v>
      </c>
      <c r="L23" s="477">
        <v>3</v>
      </c>
      <c r="M23" s="477">
        <v>11</v>
      </c>
      <c r="N23" s="478" t="s">
        <v>1187</v>
      </c>
      <c r="O23" s="478" t="s">
        <v>1188</v>
      </c>
      <c r="P23" s="478" t="s">
        <v>1205</v>
      </c>
      <c r="Q23" s="478" t="s">
        <v>1190</v>
      </c>
      <c r="R23" s="478" t="s">
        <v>1209</v>
      </c>
      <c r="S23" s="478" t="s">
        <v>1213</v>
      </c>
      <c r="T23" s="478" t="s">
        <v>1210</v>
      </c>
      <c r="U23" s="478" t="s">
        <v>1189</v>
      </c>
      <c r="V23" s="478" t="s">
        <v>1222</v>
      </c>
      <c r="W23" s="478" t="s">
        <v>1247</v>
      </c>
      <c r="X23" s="478" t="s">
        <v>1224</v>
      </c>
      <c r="Y23" s="478" t="s">
        <v>1248</v>
      </c>
      <c r="Z23" s="478" t="s">
        <v>1189</v>
      </c>
      <c r="AA23" s="478" t="s">
        <v>150</v>
      </c>
      <c r="AB23" s="477">
        <v>10045836</v>
      </c>
    </row>
    <row r="24" spans="1:28" x14ac:dyDescent="0.25">
      <c r="A24" s="24" t="str">
        <f t="shared" si="0"/>
        <v>Borrow Wood Primary School</v>
      </c>
      <c r="B24" s="477">
        <v>146847</v>
      </c>
      <c r="C24" s="478" t="s">
        <v>1181</v>
      </c>
      <c r="D24" s="478" t="s">
        <v>1182</v>
      </c>
      <c r="E24" s="477">
        <v>5201</v>
      </c>
      <c r="F24" s="478" t="s">
        <v>135</v>
      </c>
      <c r="G24" s="478" t="s">
        <v>1226</v>
      </c>
      <c r="H24" s="478" t="s">
        <v>1185</v>
      </c>
      <c r="I24" s="478" t="s">
        <v>1280</v>
      </c>
      <c r="J24" s="478" t="s">
        <v>150</v>
      </c>
      <c r="K24" s="478" t="s">
        <v>265</v>
      </c>
      <c r="L24" s="477">
        <v>3</v>
      </c>
      <c r="M24" s="477">
        <v>11</v>
      </c>
      <c r="N24" s="478" t="s">
        <v>1187</v>
      </c>
      <c r="O24" s="478" t="s">
        <v>1188</v>
      </c>
      <c r="P24" s="478" t="s">
        <v>1205</v>
      </c>
      <c r="Q24" s="478" t="s">
        <v>1190</v>
      </c>
      <c r="R24" s="478" t="s">
        <v>1191</v>
      </c>
      <c r="S24" s="478" t="s">
        <v>1191</v>
      </c>
      <c r="T24" s="478" t="s">
        <v>1189</v>
      </c>
      <c r="U24" s="478" t="s">
        <v>1189</v>
      </c>
      <c r="V24" s="478" t="s">
        <v>1222</v>
      </c>
      <c r="W24" s="478" t="s">
        <v>1281</v>
      </c>
      <c r="X24" s="478" t="s">
        <v>1230</v>
      </c>
      <c r="Y24" s="478" t="s">
        <v>150</v>
      </c>
      <c r="Z24" s="478" t="s">
        <v>1189</v>
      </c>
      <c r="AA24" s="478" t="s">
        <v>150</v>
      </c>
      <c r="AB24" s="477">
        <v>10082666</v>
      </c>
    </row>
    <row r="25" spans="1:28" x14ac:dyDescent="0.25">
      <c r="A25" s="24" t="str">
        <f t="shared" si="0"/>
        <v>Brackensdale Spencer Academy</v>
      </c>
      <c r="B25" s="477">
        <v>148384</v>
      </c>
      <c r="C25" s="478" t="s">
        <v>1181</v>
      </c>
      <c r="D25" s="478" t="s">
        <v>1182</v>
      </c>
      <c r="E25" s="477">
        <v>2026</v>
      </c>
      <c r="F25" s="478" t="s">
        <v>108</v>
      </c>
      <c r="G25" s="478" t="s">
        <v>1220</v>
      </c>
      <c r="H25" s="478" t="s">
        <v>1185</v>
      </c>
      <c r="I25" s="478" t="s">
        <v>1282</v>
      </c>
      <c r="J25" s="478" t="s">
        <v>150</v>
      </c>
      <c r="K25" s="478" t="s">
        <v>265</v>
      </c>
      <c r="L25" s="477">
        <v>3</v>
      </c>
      <c r="M25" s="477">
        <v>11</v>
      </c>
      <c r="N25" s="478" t="s">
        <v>1187</v>
      </c>
      <c r="O25" s="478" t="s">
        <v>1188</v>
      </c>
      <c r="P25" s="478" t="s">
        <v>1205</v>
      </c>
      <c r="Q25" s="478" t="s">
        <v>1190</v>
      </c>
      <c r="R25" s="478" t="s">
        <v>1191</v>
      </c>
      <c r="S25" s="478" t="s">
        <v>1191</v>
      </c>
      <c r="T25" s="478" t="s">
        <v>1189</v>
      </c>
      <c r="U25" s="478" t="s">
        <v>1189</v>
      </c>
      <c r="V25" s="478" t="s">
        <v>1222</v>
      </c>
      <c r="W25" s="478" t="s">
        <v>1233</v>
      </c>
      <c r="X25" s="478" t="s">
        <v>1224</v>
      </c>
      <c r="Y25" s="478" t="s">
        <v>1234</v>
      </c>
      <c r="Z25" s="478" t="s">
        <v>1189</v>
      </c>
      <c r="AA25" s="478" t="s">
        <v>150</v>
      </c>
      <c r="AB25" s="477">
        <v>10087559</v>
      </c>
    </row>
    <row r="26" spans="1:28" x14ac:dyDescent="0.25">
      <c r="A26" s="24" t="str">
        <f t="shared" si="0"/>
        <v>Breadsall Hill Top Primary School</v>
      </c>
      <c r="B26" s="477">
        <v>144624</v>
      </c>
      <c r="C26" s="478" t="s">
        <v>1181</v>
      </c>
      <c r="D26" s="478" t="s">
        <v>1182</v>
      </c>
      <c r="E26" s="477">
        <v>2018</v>
      </c>
      <c r="F26" s="478" t="s">
        <v>100</v>
      </c>
      <c r="G26" s="478" t="s">
        <v>1220</v>
      </c>
      <c r="H26" s="478" t="s">
        <v>1185</v>
      </c>
      <c r="I26" s="478" t="s">
        <v>1262</v>
      </c>
      <c r="J26" s="478" t="s">
        <v>150</v>
      </c>
      <c r="K26" s="478" t="s">
        <v>265</v>
      </c>
      <c r="L26" s="477">
        <v>2</v>
      </c>
      <c r="M26" s="477">
        <v>11</v>
      </c>
      <c r="N26" s="478" t="s">
        <v>1187</v>
      </c>
      <c r="O26" s="478" t="s">
        <v>1188</v>
      </c>
      <c r="P26" s="478" t="s">
        <v>1205</v>
      </c>
      <c r="Q26" s="478" t="s">
        <v>1190</v>
      </c>
      <c r="R26" s="478" t="s">
        <v>1191</v>
      </c>
      <c r="S26" s="478" t="s">
        <v>150</v>
      </c>
      <c r="T26" s="478" t="s">
        <v>1189</v>
      </c>
      <c r="U26" s="478" t="s">
        <v>1214</v>
      </c>
      <c r="V26" s="478" t="s">
        <v>1222</v>
      </c>
      <c r="W26" s="478" t="s">
        <v>1241</v>
      </c>
      <c r="X26" s="478" t="s">
        <v>1224</v>
      </c>
      <c r="Y26" s="478" t="s">
        <v>1242</v>
      </c>
      <c r="Z26" s="478" t="s">
        <v>1189</v>
      </c>
      <c r="AA26" s="478" t="s">
        <v>150</v>
      </c>
      <c r="AB26" s="477">
        <v>10064478</v>
      </c>
    </row>
    <row r="27" spans="1:28" x14ac:dyDescent="0.25">
      <c r="A27" s="24" t="str">
        <f t="shared" si="0"/>
        <v>Brookfield Primary School</v>
      </c>
      <c r="B27" s="477">
        <v>147119</v>
      </c>
      <c r="C27" s="478" t="s">
        <v>1181</v>
      </c>
      <c r="D27" s="478" t="s">
        <v>1182</v>
      </c>
      <c r="E27" s="477">
        <v>2512</v>
      </c>
      <c r="F27" s="478" t="s">
        <v>121</v>
      </c>
      <c r="G27" s="478" t="s">
        <v>1226</v>
      </c>
      <c r="H27" s="478" t="s">
        <v>1185</v>
      </c>
      <c r="I27" s="478" t="s">
        <v>1283</v>
      </c>
      <c r="J27" s="478" t="s">
        <v>150</v>
      </c>
      <c r="K27" s="478" t="s">
        <v>265</v>
      </c>
      <c r="L27" s="477">
        <v>3</v>
      </c>
      <c r="M27" s="477">
        <v>11</v>
      </c>
      <c r="N27" s="478" t="s">
        <v>1187</v>
      </c>
      <c r="O27" s="478" t="s">
        <v>1188</v>
      </c>
      <c r="P27" s="478" t="s">
        <v>1205</v>
      </c>
      <c r="Q27" s="478" t="s">
        <v>1190</v>
      </c>
      <c r="R27" s="478" t="s">
        <v>1191</v>
      </c>
      <c r="S27" s="478" t="s">
        <v>1191</v>
      </c>
      <c r="T27" s="478" t="s">
        <v>1189</v>
      </c>
      <c r="U27" s="478" t="s">
        <v>1189</v>
      </c>
      <c r="V27" s="478" t="s">
        <v>1222</v>
      </c>
      <c r="W27" s="478" t="s">
        <v>1268</v>
      </c>
      <c r="X27" s="478" t="s">
        <v>1224</v>
      </c>
      <c r="Y27" s="478" t="s">
        <v>1269</v>
      </c>
      <c r="Z27" s="478" t="s">
        <v>1189</v>
      </c>
      <c r="AA27" s="478" t="s">
        <v>150</v>
      </c>
      <c r="AB27" s="477">
        <v>10083207</v>
      </c>
    </row>
    <row r="28" spans="1:28" x14ac:dyDescent="0.25">
      <c r="A28" s="24" t="str">
        <f t="shared" si="0"/>
        <v>Carlyle Infant and Nursery Academy</v>
      </c>
      <c r="B28" s="477">
        <v>147125</v>
      </c>
      <c r="C28" s="478" t="s">
        <v>1181</v>
      </c>
      <c r="D28" s="478" t="s">
        <v>1182</v>
      </c>
      <c r="E28" s="477">
        <v>2456</v>
      </c>
      <c r="F28" s="478" t="s">
        <v>114</v>
      </c>
      <c r="G28" s="478" t="s">
        <v>1226</v>
      </c>
      <c r="H28" s="478" t="s">
        <v>1185</v>
      </c>
      <c r="I28" s="478" t="s">
        <v>1284</v>
      </c>
      <c r="J28" s="478" t="s">
        <v>150</v>
      </c>
      <c r="K28" s="478" t="s">
        <v>265</v>
      </c>
      <c r="L28" s="477">
        <v>3</v>
      </c>
      <c r="M28" s="477">
        <v>7</v>
      </c>
      <c r="N28" s="478" t="s">
        <v>1187</v>
      </c>
      <c r="O28" s="478" t="s">
        <v>1188</v>
      </c>
      <c r="P28" s="478" t="s">
        <v>1205</v>
      </c>
      <c r="Q28" s="478" t="s">
        <v>1190</v>
      </c>
      <c r="R28" s="478" t="s">
        <v>1191</v>
      </c>
      <c r="S28" s="478" t="s">
        <v>1191</v>
      </c>
      <c r="T28" s="478" t="s">
        <v>1189</v>
      </c>
      <c r="U28" s="478" t="s">
        <v>1189</v>
      </c>
      <c r="V28" s="478" t="s">
        <v>1222</v>
      </c>
      <c r="W28" s="478" t="s">
        <v>1264</v>
      </c>
      <c r="X28" s="478" t="s">
        <v>1224</v>
      </c>
      <c r="Y28" s="478" t="s">
        <v>1265</v>
      </c>
      <c r="Z28" s="478" t="s">
        <v>1189</v>
      </c>
      <c r="AA28" s="478" t="s">
        <v>150</v>
      </c>
      <c r="AB28" s="477">
        <v>10083901</v>
      </c>
    </row>
    <row r="29" spans="1:28" x14ac:dyDescent="0.25">
      <c r="A29" s="24" t="str">
        <f t="shared" si="0"/>
        <v>Castleward Spencer Academy</v>
      </c>
      <c r="B29" s="477">
        <v>148585</v>
      </c>
      <c r="C29" s="478" t="s">
        <v>1181</v>
      </c>
      <c r="D29" s="478" t="s">
        <v>1182</v>
      </c>
      <c r="E29" s="477">
        <v>2027</v>
      </c>
      <c r="F29" s="478" t="s">
        <v>109</v>
      </c>
      <c r="G29" s="478" t="s">
        <v>1239</v>
      </c>
      <c r="H29" s="478" t="s">
        <v>1185</v>
      </c>
      <c r="I29" s="478" t="s">
        <v>1292</v>
      </c>
      <c r="J29" s="478" t="s">
        <v>150</v>
      </c>
      <c r="K29" s="478" t="s">
        <v>265</v>
      </c>
      <c r="L29" s="477">
        <v>3</v>
      </c>
      <c r="M29" s="477">
        <v>11</v>
      </c>
      <c r="N29" s="478" t="s">
        <v>1187</v>
      </c>
      <c r="O29" s="478" t="s">
        <v>1188</v>
      </c>
      <c r="P29" s="478" t="s">
        <v>1205</v>
      </c>
      <c r="Q29" s="478" t="s">
        <v>1190</v>
      </c>
      <c r="R29" s="478" t="s">
        <v>1213</v>
      </c>
      <c r="S29" s="478" t="s">
        <v>1213</v>
      </c>
      <c r="T29" s="478" t="s">
        <v>1189</v>
      </c>
      <c r="U29" s="478" t="s">
        <v>1214</v>
      </c>
      <c r="V29" s="478" t="s">
        <v>1222</v>
      </c>
      <c r="W29" s="478" t="s">
        <v>1233</v>
      </c>
      <c r="X29" s="478" t="s">
        <v>1224</v>
      </c>
      <c r="Y29" s="478" t="s">
        <v>1234</v>
      </c>
      <c r="Z29" s="478" t="s">
        <v>1189</v>
      </c>
      <c r="AA29" s="478" t="s">
        <v>150</v>
      </c>
      <c r="AB29" s="477">
        <v>10088744</v>
      </c>
    </row>
    <row r="30" spans="1:28" x14ac:dyDescent="0.25">
      <c r="A30" s="24" t="str">
        <f t="shared" si="0"/>
        <v>Cavendish Close Infant School</v>
      </c>
      <c r="B30" s="477">
        <v>112749</v>
      </c>
      <c r="C30" s="478" t="s">
        <v>1181</v>
      </c>
      <c r="D30" s="478" t="s">
        <v>1182</v>
      </c>
      <c r="E30" s="477">
        <v>2449</v>
      </c>
      <c r="F30" s="478" t="s">
        <v>72</v>
      </c>
      <c r="G30" s="478" t="s">
        <v>1204</v>
      </c>
      <c r="H30" s="478" t="s">
        <v>1185</v>
      </c>
      <c r="I30" s="478" t="s">
        <v>150</v>
      </c>
      <c r="J30" s="478" t="s">
        <v>150</v>
      </c>
      <c r="K30" s="478" t="s">
        <v>265</v>
      </c>
      <c r="L30" s="477">
        <v>3</v>
      </c>
      <c r="M30" s="477">
        <v>7</v>
      </c>
      <c r="N30" s="478" t="s">
        <v>1187</v>
      </c>
      <c r="O30" s="478" t="s">
        <v>1188</v>
      </c>
      <c r="P30" s="478" t="s">
        <v>1205</v>
      </c>
      <c r="Q30" s="478" t="s">
        <v>1190</v>
      </c>
      <c r="R30" s="478" t="s">
        <v>1191</v>
      </c>
      <c r="S30" s="478" t="s">
        <v>1191</v>
      </c>
      <c r="T30" s="478" t="s">
        <v>1189</v>
      </c>
      <c r="U30" s="478" t="s">
        <v>1189</v>
      </c>
      <c r="V30" s="478" t="s">
        <v>1189</v>
      </c>
      <c r="W30" s="478" t="s">
        <v>150</v>
      </c>
      <c r="X30" s="478" t="s">
        <v>1189</v>
      </c>
      <c r="Y30" s="478" t="s">
        <v>150</v>
      </c>
      <c r="Z30" s="478" t="s">
        <v>1192</v>
      </c>
      <c r="AA30" s="478" t="s">
        <v>150</v>
      </c>
      <c r="AB30" s="477">
        <v>10076477</v>
      </c>
    </row>
    <row r="31" spans="1:28" x14ac:dyDescent="0.25">
      <c r="A31" s="24" t="str">
        <f t="shared" si="0"/>
        <v>Cavendish Close Junior Academy</v>
      </c>
      <c r="B31" s="477">
        <v>144822</v>
      </c>
      <c r="C31" s="478" t="s">
        <v>1181</v>
      </c>
      <c r="D31" s="478" t="s">
        <v>1182</v>
      </c>
      <c r="E31" s="477">
        <v>2019</v>
      </c>
      <c r="F31" s="478" t="s">
        <v>101</v>
      </c>
      <c r="G31" s="478" t="s">
        <v>1220</v>
      </c>
      <c r="H31" s="478" t="s">
        <v>1185</v>
      </c>
      <c r="I31" s="478" t="s">
        <v>1263</v>
      </c>
      <c r="J31" s="478" t="s">
        <v>150</v>
      </c>
      <c r="K31" s="478" t="s">
        <v>265</v>
      </c>
      <c r="L31" s="477">
        <v>7</v>
      </c>
      <c r="M31" s="477">
        <v>11</v>
      </c>
      <c r="N31" s="478" t="s">
        <v>1187</v>
      </c>
      <c r="O31" s="478" t="s">
        <v>1206</v>
      </c>
      <c r="P31" s="478" t="s">
        <v>1205</v>
      </c>
      <c r="Q31" s="478" t="s">
        <v>1190</v>
      </c>
      <c r="R31" s="478" t="s">
        <v>1191</v>
      </c>
      <c r="S31" s="478" t="s">
        <v>150</v>
      </c>
      <c r="T31" s="478" t="s">
        <v>1189</v>
      </c>
      <c r="U31" s="478" t="s">
        <v>1189</v>
      </c>
      <c r="V31" s="478" t="s">
        <v>1222</v>
      </c>
      <c r="W31" s="478" t="s">
        <v>1264</v>
      </c>
      <c r="X31" s="478" t="s">
        <v>1224</v>
      </c>
      <c r="Y31" s="478" t="s">
        <v>1265</v>
      </c>
      <c r="Z31" s="478" t="s">
        <v>1189</v>
      </c>
      <c r="AA31" s="478" t="s">
        <v>150</v>
      </c>
      <c r="AB31" s="477">
        <v>10064852</v>
      </c>
    </row>
    <row r="32" spans="1:28" x14ac:dyDescent="0.25">
      <c r="A32" s="24" t="str">
        <f t="shared" si="0"/>
        <v>Central Community Nursery School</v>
      </c>
      <c r="B32" s="477">
        <v>112472</v>
      </c>
      <c r="C32" s="478" t="s">
        <v>1181</v>
      </c>
      <c r="D32" s="478" t="s">
        <v>1182</v>
      </c>
      <c r="E32" s="477">
        <v>1006</v>
      </c>
      <c r="F32" s="478" t="s">
        <v>1193</v>
      </c>
      <c r="G32" s="478" t="s">
        <v>1184</v>
      </c>
      <c r="H32" s="478" t="s">
        <v>1185</v>
      </c>
      <c r="I32" s="478" t="s">
        <v>150</v>
      </c>
      <c r="J32" s="478" t="s">
        <v>150</v>
      </c>
      <c r="K32" s="478" t="s">
        <v>1186</v>
      </c>
      <c r="L32" s="477">
        <v>0</v>
      </c>
      <c r="M32" s="477">
        <v>5</v>
      </c>
      <c r="N32" s="478" t="s">
        <v>1187</v>
      </c>
      <c r="O32" s="478" t="s">
        <v>1188</v>
      </c>
      <c r="P32" s="478" t="s">
        <v>1189</v>
      </c>
      <c r="Q32" s="478" t="s">
        <v>1190</v>
      </c>
      <c r="R32" s="478" t="s">
        <v>1191</v>
      </c>
      <c r="S32" s="478" t="s">
        <v>1191</v>
      </c>
      <c r="T32" s="478" t="s">
        <v>1189</v>
      </c>
      <c r="U32" s="478" t="s">
        <v>1189</v>
      </c>
      <c r="V32" s="478" t="s">
        <v>1189</v>
      </c>
      <c r="W32" s="478" t="s">
        <v>150</v>
      </c>
      <c r="X32" s="478" t="s">
        <v>1189</v>
      </c>
      <c r="Y32" s="478" t="s">
        <v>150</v>
      </c>
      <c r="Z32" s="478" t="s">
        <v>1194</v>
      </c>
      <c r="AA32" s="478" t="s">
        <v>1195</v>
      </c>
      <c r="AB32" s="478" t="s">
        <v>150</v>
      </c>
    </row>
    <row r="33" spans="1:28" x14ac:dyDescent="0.25">
      <c r="A33" s="24" t="str">
        <f t="shared" si="0"/>
        <v>Chaddesden Park Primary School</v>
      </c>
      <c r="B33" s="477">
        <v>145592</v>
      </c>
      <c r="C33" s="478" t="s">
        <v>1181</v>
      </c>
      <c r="D33" s="478" t="s">
        <v>1182</v>
      </c>
      <c r="E33" s="477">
        <v>2467</v>
      </c>
      <c r="F33" s="478" t="s">
        <v>118</v>
      </c>
      <c r="G33" s="478" t="s">
        <v>1226</v>
      </c>
      <c r="H33" s="478" t="s">
        <v>1185</v>
      </c>
      <c r="I33" s="478" t="s">
        <v>1267</v>
      </c>
      <c r="J33" s="478" t="s">
        <v>150</v>
      </c>
      <c r="K33" s="478" t="s">
        <v>265</v>
      </c>
      <c r="L33" s="477">
        <v>3</v>
      </c>
      <c r="M33" s="477">
        <v>11</v>
      </c>
      <c r="N33" s="478" t="s">
        <v>1187</v>
      </c>
      <c r="O33" s="478" t="s">
        <v>1188</v>
      </c>
      <c r="P33" s="478" t="s">
        <v>1205</v>
      </c>
      <c r="Q33" s="478" t="s">
        <v>1190</v>
      </c>
      <c r="R33" s="478" t="s">
        <v>1191</v>
      </c>
      <c r="S33" s="478" t="s">
        <v>1191</v>
      </c>
      <c r="T33" s="478" t="s">
        <v>1189</v>
      </c>
      <c r="U33" s="478" t="s">
        <v>1189</v>
      </c>
      <c r="V33" s="478" t="s">
        <v>1222</v>
      </c>
      <c r="W33" s="478" t="s">
        <v>1268</v>
      </c>
      <c r="X33" s="478" t="s">
        <v>1224</v>
      </c>
      <c r="Y33" s="478" t="s">
        <v>1269</v>
      </c>
      <c r="Z33" s="478" t="s">
        <v>1189</v>
      </c>
      <c r="AA33" s="478" t="s">
        <v>150</v>
      </c>
      <c r="AB33" s="477">
        <v>10067212</v>
      </c>
    </row>
    <row r="34" spans="1:28" x14ac:dyDescent="0.25">
      <c r="A34" s="24" t="str">
        <f t="shared" si="0"/>
        <v>Chellaston Academy</v>
      </c>
      <c r="B34" s="477">
        <v>148639</v>
      </c>
      <c r="C34" s="478" t="s">
        <v>1181</v>
      </c>
      <c r="D34" s="478" t="s">
        <v>1182</v>
      </c>
      <c r="E34" s="477">
        <v>4012</v>
      </c>
      <c r="F34" s="478" t="s">
        <v>144</v>
      </c>
      <c r="G34" s="478" t="s">
        <v>1226</v>
      </c>
      <c r="H34" s="478" t="s">
        <v>1185</v>
      </c>
      <c r="I34" s="478" t="s">
        <v>1293</v>
      </c>
      <c r="J34" s="478" t="s">
        <v>150</v>
      </c>
      <c r="K34" s="478" t="s">
        <v>197</v>
      </c>
      <c r="L34" s="477">
        <v>11</v>
      </c>
      <c r="M34" s="477">
        <v>18</v>
      </c>
      <c r="N34" s="478" t="s">
        <v>1187</v>
      </c>
      <c r="O34" s="478" t="s">
        <v>1206</v>
      </c>
      <c r="P34" s="478" t="s">
        <v>1212</v>
      </c>
      <c r="Q34" s="478" t="s">
        <v>1190</v>
      </c>
      <c r="R34" s="478" t="s">
        <v>1213</v>
      </c>
      <c r="S34" s="478" t="s">
        <v>1191</v>
      </c>
      <c r="T34" s="478" t="s">
        <v>1189</v>
      </c>
      <c r="U34" s="478" t="s">
        <v>150</v>
      </c>
      <c r="V34" s="478" t="s">
        <v>1222</v>
      </c>
      <c r="W34" s="478" t="s">
        <v>1266</v>
      </c>
      <c r="X34" s="478" t="s">
        <v>1224</v>
      </c>
      <c r="Y34" s="478" t="s">
        <v>1266</v>
      </c>
      <c r="Z34" s="478" t="s">
        <v>1189</v>
      </c>
      <c r="AA34" s="478" t="s">
        <v>150</v>
      </c>
      <c r="AB34" s="477">
        <v>10088466</v>
      </c>
    </row>
    <row r="35" spans="1:28" x14ac:dyDescent="0.25">
      <c r="A35" s="24" t="str">
        <f t="shared" si="0"/>
        <v>Chellaston Infant School</v>
      </c>
      <c r="B35" s="477">
        <v>146507</v>
      </c>
      <c r="C35" s="478" t="s">
        <v>1181</v>
      </c>
      <c r="D35" s="478" t="s">
        <v>1182</v>
      </c>
      <c r="E35" s="477">
        <v>2455</v>
      </c>
      <c r="F35" s="478" t="s">
        <v>113</v>
      </c>
      <c r="G35" s="478" t="s">
        <v>1226</v>
      </c>
      <c r="H35" s="478" t="s">
        <v>1185</v>
      </c>
      <c r="I35" s="478" t="s">
        <v>1278</v>
      </c>
      <c r="J35" s="478" t="s">
        <v>150</v>
      </c>
      <c r="K35" s="478" t="s">
        <v>265</v>
      </c>
      <c r="L35" s="477">
        <v>5</v>
      </c>
      <c r="M35" s="477">
        <v>7</v>
      </c>
      <c r="N35" s="478" t="s">
        <v>1187</v>
      </c>
      <c r="O35" s="478" t="s">
        <v>1206</v>
      </c>
      <c r="P35" s="478" t="s">
        <v>1205</v>
      </c>
      <c r="Q35" s="478" t="s">
        <v>1190</v>
      </c>
      <c r="R35" s="478" t="s">
        <v>1191</v>
      </c>
      <c r="S35" s="478" t="s">
        <v>1191</v>
      </c>
      <c r="T35" s="478" t="s">
        <v>1189</v>
      </c>
      <c r="U35" s="478" t="s">
        <v>1189</v>
      </c>
      <c r="V35" s="478" t="s">
        <v>1222</v>
      </c>
      <c r="W35" s="478" t="s">
        <v>1276</v>
      </c>
      <c r="X35" s="478" t="s">
        <v>1224</v>
      </c>
      <c r="Y35" s="478" t="s">
        <v>1277</v>
      </c>
      <c r="Z35" s="478" t="s">
        <v>1189</v>
      </c>
      <c r="AA35" s="478" t="s">
        <v>150</v>
      </c>
      <c r="AB35" s="477">
        <v>10082925</v>
      </c>
    </row>
    <row r="36" spans="1:28" x14ac:dyDescent="0.25">
      <c r="A36" s="24" t="str">
        <f t="shared" si="0"/>
        <v>Chellaston Junior School</v>
      </c>
      <c r="B36" s="477">
        <v>146500</v>
      </c>
      <c r="C36" s="478" t="s">
        <v>1181</v>
      </c>
      <c r="D36" s="478" t="s">
        <v>1182</v>
      </c>
      <c r="E36" s="477">
        <v>5203</v>
      </c>
      <c r="F36" s="478" t="s">
        <v>136</v>
      </c>
      <c r="G36" s="478" t="s">
        <v>1226</v>
      </c>
      <c r="H36" s="478" t="s">
        <v>1185</v>
      </c>
      <c r="I36" s="478" t="s">
        <v>1278</v>
      </c>
      <c r="J36" s="478" t="s">
        <v>150</v>
      </c>
      <c r="K36" s="478" t="s">
        <v>265</v>
      </c>
      <c r="L36" s="477">
        <v>7</v>
      </c>
      <c r="M36" s="477">
        <v>11</v>
      </c>
      <c r="N36" s="478" t="s">
        <v>1187</v>
      </c>
      <c r="O36" s="478" t="s">
        <v>1206</v>
      </c>
      <c r="P36" s="478" t="s">
        <v>1205</v>
      </c>
      <c r="Q36" s="478" t="s">
        <v>1190</v>
      </c>
      <c r="R36" s="478" t="s">
        <v>1213</v>
      </c>
      <c r="S36" s="478" t="s">
        <v>1191</v>
      </c>
      <c r="T36" s="478" t="s">
        <v>1189</v>
      </c>
      <c r="U36" s="478" t="s">
        <v>1189</v>
      </c>
      <c r="V36" s="478" t="s">
        <v>1222</v>
      </c>
      <c r="W36" s="478" t="s">
        <v>1276</v>
      </c>
      <c r="X36" s="478" t="s">
        <v>1224</v>
      </c>
      <c r="Y36" s="478" t="s">
        <v>1277</v>
      </c>
      <c r="Z36" s="478" t="s">
        <v>1189</v>
      </c>
      <c r="AA36" s="478" t="s">
        <v>150</v>
      </c>
      <c r="AB36" s="477">
        <v>10082923</v>
      </c>
    </row>
    <row r="37" spans="1:28" x14ac:dyDescent="0.25">
      <c r="A37" s="24" t="str">
        <f t="shared" si="0"/>
        <v>Cherry Tree Hill Primary School</v>
      </c>
      <c r="B37" s="477">
        <v>146921</v>
      </c>
      <c r="C37" s="478" t="s">
        <v>1181</v>
      </c>
      <c r="D37" s="478" t="s">
        <v>1182</v>
      </c>
      <c r="E37" s="477">
        <v>2451</v>
      </c>
      <c r="F37" s="478" t="s">
        <v>112</v>
      </c>
      <c r="G37" s="478" t="s">
        <v>1226</v>
      </c>
      <c r="H37" s="478" t="s">
        <v>1185</v>
      </c>
      <c r="I37" s="478" t="s">
        <v>1278</v>
      </c>
      <c r="J37" s="478" t="s">
        <v>150</v>
      </c>
      <c r="K37" s="478" t="s">
        <v>265</v>
      </c>
      <c r="L37" s="477">
        <v>3</v>
      </c>
      <c r="M37" s="477">
        <v>11</v>
      </c>
      <c r="N37" s="478" t="s">
        <v>1187</v>
      </c>
      <c r="O37" s="478" t="s">
        <v>1188</v>
      </c>
      <c r="P37" s="478" t="s">
        <v>1205</v>
      </c>
      <c r="Q37" s="478" t="s">
        <v>1190</v>
      </c>
      <c r="R37" s="478" t="s">
        <v>1191</v>
      </c>
      <c r="S37" s="478" t="s">
        <v>1191</v>
      </c>
      <c r="T37" s="478" t="s">
        <v>1189</v>
      </c>
      <c r="U37" s="478" t="s">
        <v>1189</v>
      </c>
      <c r="V37" s="478" t="s">
        <v>1222</v>
      </c>
      <c r="W37" s="478" t="s">
        <v>1281</v>
      </c>
      <c r="X37" s="478" t="s">
        <v>1230</v>
      </c>
      <c r="Y37" s="478" t="s">
        <v>150</v>
      </c>
      <c r="Z37" s="478" t="s">
        <v>1189</v>
      </c>
      <c r="AA37" s="478" t="s">
        <v>150</v>
      </c>
      <c r="AB37" s="477">
        <v>10082998</v>
      </c>
    </row>
    <row r="38" spans="1:28" x14ac:dyDescent="0.25">
      <c r="A38" s="24" t="str">
        <f t="shared" si="0"/>
        <v>City of Derby Academy</v>
      </c>
      <c r="B38" s="477">
        <v>145132</v>
      </c>
      <c r="C38" s="478" t="s">
        <v>1181</v>
      </c>
      <c r="D38" s="478" t="s">
        <v>1182</v>
      </c>
      <c r="E38" s="477">
        <v>4008</v>
      </c>
      <c r="F38" s="478" t="s">
        <v>141</v>
      </c>
      <c r="G38" s="478" t="s">
        <v>1220</v>
      </c>
      <c r="H38" s="478" t="s">
        <v>1185</v>
      </c>
      <c r="I38" s="478" t="s">
        <v>1263</v>
      </c>
      <c r="J38" s="478" t="s">
        <v>150</v>
      </c>
      <c r="K38" s="478" t="s">
        <v>197</v>
      </c>
      <c r="L38" s="477">
        <v>11</v>
      </c>
      <c r="M38" s="477">
        <v>16</v>
      </c>
      <c r="N38" s="478" t="s">
        <v>1187</v>
      </c>
      <c r="O38" s="478" t="s">
        <v>1206</v>
      </c>
      <c r="P38" s="478" t="s">
        <v>1205</v>
      </c>
      <c r="Q38" s="478" t="s">
        <v>1190</v>
      </c>
      <c r="R38" s="478" t="s">
        <v>1213</v>
      </c>
      <c r="S38" s="478" t="s">
        <v>1213</v>
      </c>
      <c r="T38" s="478" t="s">
        <v>150</v>
      </c>
      <c r="U38" s="478" t="s">
        <v>150</v>
      </c>
      <c r="V38" s="478" t="s">
        <v>1222</v>
      </c>
      <c r="W38" s="478" t="s">
        <v>1266</v>
      </c>
      <c r="X38" s="478" t="s">
        <v>1224</v>
      </c>
      <c r="Y38" s="478" t="s">
        <v>1266</v>
      </c>
      <c r="Z38" s="478" t="s">
        <v>1189</v>
      </c>
      <c r="AA38" s="478" t="s">
        <v>150</v>
      </c>
      <c r="AB38" s="477">
        <v>10065201</v>
      </c>
    </row>
    <row r="39" spans="1:28" x14ac:dyDescent="0.25">
      <c r="A39" s="24" t="str">
        <f t="shared" si="0"/>
        <v>Cottons Farm Primary Academy</v>
      </c>
      <c r="B39" s="477">
        <v>145982</v>
      </c>
      <c r="C39" s="478" t="s">
        <v>1181</v>
      </c>
      <c r="D39" s="478" t="s">
        <v>1182</v>
      </c>
      <c r="E39" s="477">
        <v>2023</v>
      </c>
      <c r="F39" s="478" t="s">
        <v>105</v>
      </c>
      <c r="G39" s="478" t="s">
        <v>1220</v>
      </c>
      <c r="H39" s="478" t="s">
        <v>1185</v>
      </c>
      <c r="I39" s="478" t="s">
        <v>1270</v>
      </c>
      <c r="J39" s="478" t="s">
        <v>150</v>
      </c>
      <c r="K39" s="478" t="s">
        <v>265</v>
      </c>
      <c r="L39" s="477">
        <v>3</v>
      </c>
      <c r="M39" s="477">
        <v>11</v>
      </c>
      <c r="N39" s="478" t="s">
        <v>1187</v>
      </c>
      <c r="O39" s="478" t="s">
        <v>1188</v>
      </c>
      <c r="P39" s="478" t="s">
        <v>1205</v>
      </c>
      <c r="Q39" s="478" t="s">
        <v>1190</v>
      </c>
      <c r="R39" s="478" t="s">
        <v>1191</v>
      </c>
      <c r="S39" s="478" t="s">
        <v>1191</v>
      </c>
      <c r="T39" s="478" t="s">
        <v>1189</v>
      </c>
      <c r="U39" s="478" t="s">
        <v>1189</v>
      </c>
      <c r="V39" s="478" t="s">
        <v>1222</v>
      </c>
      <c r="W39" s="478" t="s">
        <v>1264</v>
      </c>
      <c r="X39" s="478" t="s">
        <v>1224</v>
      </c>
      <c r="Y39" s="478" t="s">
        <v>1265</v>
      </c>
      <c r="Z39" s="478" t="s">
        <v>1189</v>
      </c>
      <c r="AA39" s="478" t="s">
        <v>150</v>
      </c>
      <c r="AB39" s="477">
        <v>10068288</v>
      </c>
    </row>
    <row r="40" spans="1:28" x14ac:dyDescent="0.25">
      <c r="A40" s="24" t="str">
        <f t="shared" si="0"/>
        <v>Da Vinci Academy</v>
      </c>
      <c r="B40" s="477">
        <v>144066</v>
      </c>
      <c r="C40" s="478" t="s">
        <v>1181</v>
      </c>
      <c r="D40" s="478" t="s">
        <v>1182</v>
      </c>
      <c r="E40" s="477">
        <v>4007</v>
      </c>
      <c r="F40" s="478" t="s">
        <v>140</v>
      </c>
      <c r="G40" s="478" t="s">
        <v>1220</v>
      </c>
      <c r="H40" s="478" t="s">
        <v>1185</v>
      </c>
      <c r="I40" s="478" t="s">
        <v>1259</v>
      </c>
      <c r="J40" s="478" t="s">
        <v>150</v>
      </c>
      <c r="K40" s="478" t="s">
        <v>197</v>
      </c>
      <c r="L40" s="477">
        <v>11</v>
      </c>
      <c r="M40" s="477">
        <v>16</v>
      </c>
      <c r="N40" s="478" t="s">
        <v>1187</v>
      </c>
      <c r="O40" s="478" t="s">
        <v>1206</v>
      </c>
      <c r="P40" s="478" t="s">
        <v>1205</v>
      </c>
      <c r="Q40" s="478" t="s">
        <v>1190</v>
      </c>
      <c r="R40" s="478" t="s">
        <v>1213</v>
      </c>
      <c r="S40" s="478" t="s">
        <v>1191</v>
      </c>
      <c r="T40" s="478" t="s">
        <v>1189</v>
      </c>
      <c r="U40" s="478" t="s">
        <v>1214</v>
      </c>
      <c r="V40" s="478" t="s">
        <v>1222</v>
      </c>
      <c r="W40" s="478" t="s">
        <v>1254</v>
      </c>
      <c r="X40" s="478" t="s">
        <v>1224</v>
      </c>
      <c r="Y40" s="478" t="s">
        <v>1255</v>
      </c>
      <c r="Z40" s="478" t="s">
        <v>1189</v>
      </c>
      <c r="AA40" s="478" t="s">
        <v>150</v>
      </c>
      <c r="AB40" s="477">
        <v>10063123</v>
      </c>
    </row>
    <row r="41" spans="1:28" x14ac:dyDescent="0.25">
      <c r="A41" s="24" t="str">
        <f t="shared" si="0"/>
        <v>Dale Community Primary School</v>
      </c>
      <c r="B41" s="477">
        <v>112720</v>
      </c>
      <c r="C41" s="478" t="s">
        <v>1181</v>
      </c>
      <c r="D41" s="478" t="s">
        <v>1182</v>
      </c>
      <c r="E41" s="477">
        <v>2409</v>
      </c>
      <c r="F41" s="478" t="s">
        <v>65</v>
      </c>
      <c r="G41" s="478" t="s">
        <v>1204</v>
      </c>
      <c r="H41" s="478" t="s">
        <v>1185</v>
      </c>
      <c r="I41" s="478" t="s">
        <v>150</v>
      </c>
      <c r="J41" s="478" t="s">
        <v>150</v>
      </c>
      <c r="K41" s="478" t="s">
        <v>265</v>
      </c>
      <c r="L41" s="477">
        <v>5</v>
      </c>
      <c r="M41" s="477">
        <v>11</v>
      </c>
      <c r="N41" s="478" t="s">
        <v>1187</v>
      </c>
      <c r="O41" s="478" t="s">
        <v>1206</v>
      </c>
      <c r="P41" s="478" t="s">
        <v>1205</v>
      </c>
      <c r="Q41" s="478" t="s">
        <v>1190</v>
      </c>
      <c r="R41" s="478" t="s">
        <v>1191</v>
      </c>
      <c r="S41" s="478" t="s">
        <v>1191</v>
      </c>
      <c r="T41" s="478" t="s">
        <v>1189</v>
      </c>
      <c r="U41" s="478" t="s">
        <v>1189</v>
      </c>
      <c r="V41" s="478" t="s">
        <v>1189</v>
      </c>
      <c r="W41" s="478" t="s">
        <v>150</v>
      </c>
      <c r="X41" s="478" t="s">
        <v>1189</v>
      </c>
      <c r="Y41" s="478" t="s">
        <v>150</v>
      </c>
      <c r="Z41" s="478" t="s">
        <v>1192</v>
      </c>
      <c r="AA41" s="478" t="s">
        <v>150</v>
      </c>
      <c r="AB41" s="477">
        <v>10073284</v>
      </c>
    </row>
    <row r="42" spans="1:28" x14ac:dyDescent="0.25">
      <c r="A42" s="24" t="str">
        <f t="shared" si="0"/>
        <v>Derby Cathedral School</v>
      </c>
      <c r="B42" s="477">
        <v>143734</v>
      </c>
      <c r="C42" s="478" t="s">
        <v>1181</v>
      </c>
      <c r="D42" s="478" t="s">
        <v>1182</v>
      </c>
      <c r="E42" s="477">
        <v>4004</v>
      </c>
      <c r="F42" s="478" t="s">
        <v>137</v>
      </c>
      <c r="G42" s="478" t="s">
        <v>1239</v>
      </c>
      <c r="H42" s="478" t="s">
        <v>1185</v>
      </c>
      <c r="I42" s="478" t="s">
        <v>1252</v>
      </c>
      <c r="J42" s="478" t="s">
        <v>150</v>
      </c>
      <c r="K42" s="478" t="s">
        <v>197</v>
      </c>
      <c r="L42" s="477">
        <v>11</v>
      </c>
      <c r="M42" s="477">
        <v>19</v>
      </c>
      <c r="N42" s="478" t="s">
        <v>1189</v>
      </c>
      <c r="O42" s="478" t="s">
        <v>1206</v>
      </c>
      <c r="P42" s="478" t="s">
        <v>1212</v>
      </c>
      <c r="Q42" s="478" t="s">
        <v>1190</v>
      </c>
      <c r="R42" s="478" t="s">
        <v>1209</v>
      </c>
      <c r="S42" s="478" t="s">
        <v>1209</v>
      </c>
      <c r="T42" s="478" t="s">
        <v>1210</v>
      </c>
      <c r="U42" s="478" t="s">
        <v>150</v>
      </c>
      <c r="V42" s="478" t="s">
        <v>1222</v>
      </c>
      <c r="W42" s="478" t="s">
        <v>1247</v>
      </c>
      <c r="X42" s="478" t="s">
        <v>1224</v>
      </c>
      <c r="Y42" s="478" t="s">
        <v>1248</v>
      </c>
      <c r="Z42" s="478" t="s">
        <v>1189</v>
      </c>
      <c r="AA42" s="478" t="s">
        <v>150</v>
      </c>
      <c r="AB42" s="477">
        <v>10068102</v>
      </c>
    </row>
    <row r="43" spans="1:28" x14ac:dyDescent="0.25">
      <c r="A43" s="24" t="str">
        <f t="shared" si="0"/>
        <v>Derby Moor Spencer Academy</v>
      </c>
      <c r="B43" s="477">
        <v>145327</v>
      </c>
      <c r="C43" s="478" t="s">
        <v>1181</v>
      </c>
      <c r="D43" s="478" t="s">
        <v>1182</v>
      </c>
      <c r="E43" s="477">
        <v>4178</v>
      </c>
      <c r="F43" s="478" t="s">
        <v>145</v>
      </c>
      <c r="G43" s="478" t="s">
        <v>1226</v>
      </c>
      <c r="H43" s="478" t="s">
        <v>1185</v>
      </c>
      <c r="I43" s="478" t="s">
        <v>1250</v>
      </c>
      <c r="J43" s="478" t="s">
        <v>150</v>
      </c>
      <c r="K43" s="478" t="s">
        <v>197</v>
      </c>
      <c r="L43" s="477">
        <v>11</v>
      </c>
      <c r="M43" s="477">
        <v>18</v>
      </c>
      <c r="N43" s="478" t="s">
        <v>1187</v>
      </c>
      <c r="O43" s="478" t="s">
        <v>1206</v>
      </c>
      <c r="P43" s="478" t="s">
        <v>1212</v>
      </c>
      <c r="Q43" s="478" t="s">
        <v>1190</v>
      </c>
      <c r="R43" s="478" t="s">
        <v>1213</v>
      </c>
      <c r="S43" s="478" t="s">
        <v>1191</v>
      </c>
      <c r="T43" s="478" t="s">
        <v>1189</v>
      </c>
      <c r="U43" s="478" t="s">
        <v>1214</v>
      </c>
      <c r="V43" s="478" t="s">
        <v>1222</v>
      </c>
      <c r="W43" s="478" t="s">
        <v>1233</v>
      </c>
      <c r="X43" s="478" t="s">
        <v>1224</v>
      </c>
      <c r="Y43" s="478" t="s">
        <v>1234</v>
      </c>
      <c r="Z43" s="478" t="s">
        <v>1189</v>
      </c>
      <c r="AA43" s="478" t="s">
        <v>150</v>
      </c>
      <c r="AB43" s="477">
        <v>10066363</v>
      </c>
    </row>
    <row r="44" spans="1:28" x14ac:dyDescent="0.25">
      <c r="A44" s="24" t="str">
        <f t="shared" si="0"/>
        <v>Derby St Chad's CofE Nursery and Infant School</v>
      </c>
      <c r="B44" s="477">
        <v>146575</v>
      </c>
      <c r="C44" s="478" t="s">
        <v>1181</v>
      </c>
      <c r="D44" s="478" t="s">
        <v>1182</v>
      </c>
      <c r="E44" s="477">
        <v>3158</v>
      </c>
      <c r="F44" s="478" t="s">
        <v>124</v>
      </c>
      <c r="G44" s="478" t="s">
        <v>1226</v>
      </c>
      <c r="H44" s="478" t="s">
        <v>1185</v>
      </c>
      <c r="I44" s="478" t="s">
        <v>1274</v>
      </c>
      <c r="J44" s="478" t="s">
        <v>150</v>
      </c>
      <c r="K44" s="478" t="s">
        <v>265</v>
      </c>
      <c r="L44" s="477">
        <v>2</v>
      </c>
      <c r="M44" s="477">
        <v>7</v>
      </c>
      <c r="N44" s="478" t="s">
        <v>1187</v>
      </c>
      <c r="O44" s="478" t="s">
        <v>1188</v>
      </c>
      <c r="P44" s="478" t="s">
        <v>1205</v>
      </c>
      <c r="Q44" s="478" t="s">
        <v>1190</v>
      </c>
      <c r="R44" s="478" t="s">
        <v>1209</v>
      </c>
      <c r="S44" s="478" t="s">
        <v>1191</v>
      </c>
      <c r="T44" s="478" t="s">
        <v>1210</v>
      </c>
      <c r="U44" s="478" t="s">
        <v>1189</v>
      </c>
      <c r="V44" s="478" t="s">
        <v>1222</v>
      </c>
      <c r="W44" s="478" t="s">
        <v>1247</v>
      </c>
      <c r="X44" s="478" t="s">
        <v>1224</v>
      </c>
      <c r="Y44" s="478" t="s">
        <v>1248</v>
      </c>
      <c r="Z44" s="478" t="s">
        <v>1189</v>
      </c>
      <c r="AA44" s="478" t="s">
        <v>150</v>
      </c>
      <c r="AB44" s="477">
        <v>10082231</v>
      </c>
    </row>
    <row r="45" spans="1:28" x14ac:dyDescent="0.25">
      <c r="A45" s="24" t="str">
        <f t="shared" si="0"/>
        <v>Derwent Primary School</v>
      </c>
      <c r="B45" s="477">
        <v>144343</v>
      </c>
      <c r="C45" s="478" t="s">
        <v>1181</v>
      </c>
      <c r="D45" s="478" t="s">
        <v>1182</v>
      </c>
      <c r="E45" s="477">
        <v>2016</v>
      </c>
      <c r="F45" s="478" t="s">
        <v>98</v>
      </c>
      <c r="G45" s="478" t="s">
        <v>1220</v>
      </c>
      <c r="H45" s="478" t="s">
        <v>1185</v>
      </c>
      <c r="I45" s="478" t="s">
        <v>1260</v>
      </c>
      <c r="J45" s="478" t="s">
        <v>150</v>
      </c>
      <c r="K45" s="478" t="s">
        <v>265</v>
      </c>
      <c r="L45" s="477">
        <v>3</v>
      </c>
      <c r="M45" s="477">
        <v>11</v>
      </c>
      <c r="N45" s="478" t="s">
        <v>1187</v>
      </c>
      <c r="O45" s="478" t="s">
        <v>1188</v>
      </c>
      <c r="P45" s="478" t="s">
        <v>1205</v>
      </c>
      <c r="Q45" s="478" t="s">
        <v>1190</v>
      </c>
      <c r="R45" s="478" t="s">
        <v>1191</v>
      </c>
      <c r="S45" s="478" t="s">
        <v>150</v>
      </c>
      <c r="T45" s="478" t="s">
        <v>1189</v>
      </c>
      <c r="U45" s="478" t="s">
        <v>1189</v>
      </c>
      <c r="V45" s="478" t="s">
        <v>1222</v>
      </c>
      <c r="W45" s="478" t="s">
        <v>1261</v>
      </c>
      <c r="X45" s="478" t="s">
        <v>1230</v>
      </c>
      <c r="Y45" s="478" t="s">
        <v>150</v>
      </c>
      <c r="Z45" s="478" t="s">
        <v>1189</v>
      </c>
      <c r="AA45" s="478" t="s">
        <v>150</v>
      </c>
      <c r="AB45" s="477">
        <v>10063398</v>
      </c>
    </row>
    <row r="46" spans="1:28" x14ac:dyDescent="0.25">
      <c r="A46" s="24" t="str">
        <f t="shared" si="0"/>
        <v>Firs Primary School</v>
      </c>
      <c r="B46" s="477">
        <v>142041</v>
      </c>
      <c r="C46" s="478" t="s">
        <v>1181</v>
      </c>
      <c r="D46" s="478" t="s">
        <v>1182</v>
      </c>
      <c r="E46" s="477">
        <v>2013</v>
      </c>
      <c r="F46" s="478" t="s">
        <v>96</v>
      </c>
      <c r="G46" s="478" t="s">
        <v>1220</v>
      </c>
      <c r="H46" s="478" t="s">
        <v>1185</v>
      </c>
      <c r="I46" s="478" t="s">
        <v>1250</v>
      </c>
      <c r="J46" s="478" t="s">
        <v>150</v>
      </c>
      <c r="K46" s="478" t="s">
        <v>265</v>
      </c>
      <c r="L46" s="477">
        <v>3</v>
      </c>
      <c r="M46" s="477">
        <v>11</v>
      </c>
      <c r="N46" s="478" t="s">
        <v>1187</v>
      </c>
      <c r="O46" s="478" t="s">
        <v>1188</v>
      </c>
      <c r="P46" s="478" t="s">
        <v>1205</v>
      </c>
      <c r="Q46" s="478" t="s">
        <v>1190</v>
      </c>
      <c r="R46" s="478" t="s">
        <v>1191</v>
      </c>
      <c r="S46" s="478" t="s">
        <v>1213</v>
      </c>
      <c r="T46" s="478" t="s">
        <v>1189</v>
      </c>
      <c r="U46" s="478" t="s">
        <v>1189</v>
      </c>
      <c r="V46" s="478" t="s">
        <v>1222</v>
      </c>
      <c r="W46" s="478" t="s">
        <v>1247</v>
      </c>
      <c r="X46" s="478" t="s">
        <v>1224</v>
      </c>
      <c r="Y46" s="478" t="s">
        <v>1248</v>
      </c>
      <c r="Z46" s="478" t="s">
        <v>1189</v>
      </c>
      <c r="AA46" s="478" t="s">
        <v>150</v>
      </c>
      <c r="AB46" s="477">
        <v>10049664</v>
      </c>
    </row>
    <row r="47" spans="1:28" x14ac:dyDescent="0.25">
      <c r="A47" s="24" t="str">
        <f t="shared" si="0"/>
        <v>Gayton Junior School</v>
      </c>
      <c r="B47" s="477">
        <v>112756</v>
      </c>
      <c r="C47" s="478" t="s">
        <v>1181</v>
      </c>
      <c r="D47" s="478" t="s">
        <v>1182</v>
      </c>
      <c r="E47" s="477">
        <v>2457</v>
      </c>
      <c r="F47" s="478" t="s">
        <v>74</v>
      </c>
      <c r="G47" s="478" t="s">
        <v>1204</v>
      </c>
      <c r="H47" s="478" t="s">
        <v>1185</v>
      </c>
      <c r="I47" s="478" t="s">
        <v>150</v>
      </c>
      <c r="J47" s="478" t="s">
        <v>150</v>
      </c>
      <c r="K47" s="478" t="s">
        <v>265</v>
      </c>
      <c r="L47" s="477">
        <v>7</v>
      </c>
      <c r="M47" s="477">
        <v>11</v>
      </c>
      <c r="N47" s="478" t="s">
        <v>1187</v>
      </c>
      <c r="O47" s="478" t="s">
        <v>1206</v>
      </c>
      <c r="P47" s="478" t="s">
        <v>1205</v>
      </c>
      <c r="Q47" s="478" t="s">
        <v>1190</v>
      </c>
      <c r="R47" s="478" t="s">
        <v>1191</v>
      </c>
      <c r="S47" s="478" t="s">
        <v>1191</v>
      </c>
      <c r="T47" s="478" t="s">
        <v>1189</v>
      </c>
      <c r="U47" s="478" t="s">
        <v>1189</v>
      </c>
      <c r="V47" s="478" t="s">
        <v>1189</v>
      </c>
      <c r="W47" s="478" t="s">
        <v>150</v>
      </c>
      <c r="X47" s="478" t="s">
        <v>1189</v>
      </c>
      <c r="Y47" s="478" t="s">
        <v>150</v>
      </c>
      <c r="Z47" s="478" t="s">
        <v>1192</v>
      </c>
      <c r="AA47" s="478" t="s">
        <v>150</v>
      </c>
      <c r="AB47" s="477">
        <v>10070670</v>
      </c>
    </row>
    <row r="48" spans="1:28" x14ac:dyDescent="0.25">
      <c r="A48" s="24" t="str">
        <f t="shared" si="0"/>
        <v>Grampian Primary Academy</v>
      </c>
      <c r="B48" s="477">
        <v>138992</v>
      </c>
      <c r="C48" s="478" t="s">
        <v>1181</v>
      </c>
      <c r="D48" s="478" t="s">
        <v>1182</v>
      </c>
      <c r="E48" s="477">
        <v>2010</v>
      </c>
      <c r="F48" s="478" t="s">
        <v>93</v>
      </c>
      <c r="G48" s="478" t="s">
        <v>1220</v>
      </c>
      <c r="H48" s="478" t="s">
        <v>1185</v>
      </c>
      <c r="I48" s="478" t="s">
        <v>1243</v>
      </c>
      <c r="J48" s="478" t="s">
        <v>150</v>
      </c>
      <c r="K48" s="478" t="s">
        <v>265</v>
      </c>
      <c r="L48" s="477">
        <v>3</v>
      </c>
      <c r="M48" s="477">
        <v>11</v>
      </c>
      <c r="N48" s="478" t="s">
        <v>1187</v>
      </c>
      <c r="O48" s="478" t="s">
        <v>1188</v>
      </c>
      <c r="P48" s="478" t="s">
        <v>1205</v>
      </c>
      <c r="Q48" s="478" t="s">
        <v>1190</v>
      </c>
      <c r="R48" s="478" t="s">
        <v>1191</v>
      </c>
      <c r="S48" s="478" t="s">
        <v>1213</v>
      </c>
      <c r="T48" s="478" t="s">
        <v>1189</v>
      </c>
      <c r="U48" s="478" t="s">
        <v>1189</v>
      </c>
      <c r="V48" s="478" t="s">
        <v>1222</v>
      </c>
      <c r="W48" s="478" t="s">
        <v>1244</v>
      </c>
      <c r="X48" s="478" t="s">
        <v>1224</v>
      </c>
      <c r="Y48" s="478" t="s">
        <v>1245</v>
      </c>
      <c r="Z48" s="478" t="s">
        <v>1189</v>
      </c>
      <c r="AA48" s="478" t="s">
        <v>150</v>
      </c>
      <c r="AB48" s="477">
        <v>10039569</v>
      </c>
    </row>
    <row r="49" spans="1:28" x14ac:dyDescent="0.25">
      <c r="A49" s="24" t="str">
        <f t="shared" si="0"/>
        <v>Griffe Field Primary School</v>
      </c>
      <c r="B49" s="477">
        <v>146579</v>
      </c>
      <c r="C49" s="478" t="s">
        <v>1181</v>
      </c>
      <c r="D49" s="478" t="s">
        <v>1182</v>
      </c>
      <c r="E49" s="477">
        <v>2002</v>
      </c>
      <c r="F49" s="478" t="s">
        <v>87</v>
      </c>
      <c r="G49" s="478" t="s">
        <v>1226</v>
      </c>
      <c r="H49" s="478" t="s">
        <v>1185</v>
      </c>
      <c r="I49" s="478" t="s">
        <v>1274</v>
      </c>
      <c r="J49" s="478" t="s">
        <v>150</v>
      </c>
      <c r="K49" s="478" t="s">
        <v>265</v>
      </c>
      <c r="L49" s="477">
        <v>3</v>
      </c>
      <c r="M49" s="477">
        <v>11</v>
      </c>
      <c r="N49" s="478" t="s">
        <v>1187</v>
      </c>
      <c r="O49" s="478" t="s">
        <v>1188</v>
      </c>
      <c r="P49" s="478" t="s">
        <v>1205</v>
      </c>
      <c r="Q49" s="478" t="s">
        <v>1190</v>
      </c>
      <c r="R49" s="478" t="s">
        <v>1191</v>
      </c>
      <c r="S49" s="478" t="s">
        <v>1191</v>
      </c>
      <c r="T49" s="478" t="s">
        <v>1189</v>
      </c>
      <c r="U49" s="478" t="s">
        <v>1189</v>
      </c>
      <c r="V49" s="478" t="s">
        <v>1222</v>
      </c>
      <c r="W49" s="478" t="s">
        <v>1247</v>
      </c>
      <c r="X49" s="478" t="s">
        <v>1224</v>
      </c>
      <c r="Y49" s="478" t="s">
        <v>1248</v>
      </c>
      <c r="Z49" s="478" t="s">
        <v>1189</v>
      </c>
      <c r="AA49" s="478" t="s">
        <v>150</v>
      </c>
      <c r="AB49" s="477">
        <v>10082224</v>
      </c>
    </row>
    <row r="50" spans="1:28" x14ac:dyDescent="0.25">
      <c r="A50" s="24" t="str">
        <f t="shared" si="0"/>
        <v>Hackwood Primary Academy</v>
      </c>
      <c r="B50" s="477">
        <v>147307</v>
      </c>
      <c r="C50" s="478" t="s">
        <v>1181</v>
      </c>
      <c r="D50" s="478" t="s">
        <v>1182</v>
      </c>
      <c r="E50" s="477">
        <v>2024</v>
      </c>
      <c r="F50" s="478" t="s">
        <v>106</v>
      </c>
      <c r="G50" s="478" t="s">
        <v>1239</v>
      </c>
      <c r="H50" s="478" t="s">
        <v>1185</v>
      </c>
      <c r="I50" s="478" t="s">
        <v>1286</v>
      </c>
      <c r="J50" s="478" t="s">
        <v>150</v>
      </c>
      <c r="K50" s="478" t="s">
        <v>265</v>
      </c>
      <c r="L50" s="477">
        <v>3</v>
      </c>
      <c r="M50" s="477">
        <v>11</v>
      </c>
      <c r="N50" s="478" t="s">
        <v>1187</v>
      </c>
      <c r="O50" s="478" t="s">
        <v>1188</v>
      </c>
      <c r="P50" s="478" t="s">
        <v>1205</v>
      </c>
      <c r="Q50" s="478" t="s">
        <v>1190</v>
      </c>
      <c r="R50" s="478" t="s">
        <v>1213</v>
      </c>
      <c r="S50" s="478" t="s">
        <v>1213</v>
      </c>
      <c r="T50" s="478" t="s">
        <v>150</v>
      </c>
      <c r="U50" s="478" t="s">
        <v>1214</v>
      </c>
      <c r="V50" s="478" t="s">
        <v>1222</v>
      </c>
      <c r="W50" s="478" t="s">
        <v>1264</v>
      </c>
      <c r="X50" s="478" t="s">
        <v>1224</v>
      </c>
      <c r="Y50" s="478" t="s">
        <v>1265</v>
      </c>
      <c r="Z50" s="478" t="s">
        <v>1189</v>
      </c>
      <c r="AA50" s="478" t="s">
        <v>150</v>
      </c>
      <c r="AB50" s="477">
        <v>10083747</v>
      </c>
    </row>
    <row r="51" spans="1:28" x14ac:dyDescent="0.25">
      <c r="A51" s="24" t="str">
        <f t="shared" si="0"/>
        <v>Hardwick Primary School</v>
      </c>
      <c r="B51" s="477">
        <v>143875</v>
      </c>
      <c r="C51" s="478" t="s">
        <v>1181</v>
      </c>
      <c r="D51" s="478" t="s">
        <v>1182</v>
      </c>
      <c r="E51" s="477">
        <v>3544</v>
      </c>
      <c r="F51" s="478" t="s">
        <v>132</v>
      </c>
      <c r="G51" s="478" t="s">
        <v>1226</v>
      </c>
      <c r="H51" s="478" t="s">
        <v>1185</v>
      </c>
      <c r="I51" s="478" t="s">
        <v>1250</v>
      </c>
      <c r="J51" s="478" t="s">
        <v>150</v>
      </c>
      <c r="K51" s="478" t="s">
        <v>265</v>
      </c>
      <c r="L51" s="477">
        <v>3</v>
      </c>
      <c r="M51" s="477">
        <v>11</v>
      </c>
      <c r="N51" s="478" t="s">
        <v>1187</v>
      </c>
      <c r="O51" s="478" t="s">
        <v>1188</v>
      </c>
      <c r="P51" s="478" t="s">
        <v>1205</v>
      </c>
      <c r="Q51" s="478" t="s">
        <v>1190</v>
      </c>
      <c r="R51" s="478" t="s">
        <v>1191</v>
      </c>
      <c r="S51" s="478" t="s">
        <v>1191</v>
      </c>
      <c r="T51" s="478" t="s">
        <v>1189</v>
      </c>
      <c r="U51" s="478" t="s">
        <v>1189</v>
      </c>
      <c r="V51" s="478" t="s">
        <v>1222</v>
      </c>
      <c r="W51" s="478" t="s">
        <v>1247</v>
      </c>
      <c r="X51" s="478" t="s">
        <v>1224</v>
      </c>
      <c r="Y51" s="478" t="s">
        <v>1248</v>
      </c>
      <c r="Z51" s="478" t="s">
        <v>1189</v>
      </c>
      <c r="AA51" s="478" t="s">
        <v>150</v>
      </c>
      <c r="AB51" s="477">
        <v>10062293</v>
      </c>
    </row>
    <row r="52" spans="1:28" x14ac:dyDescent="0.25">
      <c r="A52" s="24" t="str">
        <f t="shared" si="0"/>
        <v>Harrington Nursery School</v>
      </c>
      <c r="B52" s="477">
        <v>112474</v>
      </c>
      <c r="C52" s="478" t="s">
        <v>1181</v>
      </c>
      <c r="D52" s="478" t="s">
        <v>1182</v>
      </c>
      <c r="E52" s="477">
        <v>1008</v>
      </c>
      <c r="F52" s="478" t="s">
        <v>1196</v>
      </c>
      <c r="G52" s="478" t="s">
        <v>1184</v>
      </c>
      <c r="H52" s="478" t="s">
        <v>1185</v>
      </c>
      <c r="I52" s="478" t="s">
        <v>150</v>
      </c>
      <c r="J52" s="478" t="s">
        <v>150</v>
      </c>
      <c r="K52" s="478" t="s">
        <v>1186</v>
      </c>
      <c r="L52" s="477">
        <v>3</v>
      </c>
      <c r="M52" s="477">
        <v>5</v>
      </c>
      <c r="N52" s="478" t="s">
        <v>1187</v>
      </c>
      <c r="O52" s="478" t="s">
        <v>1188</v>
      </c>
      <c r="P52" s="478" t="s">
        <v>1189</v>
      </c>
      <c r="Q52" s="478" t="s">
        <v>1190</v>
      </c>
      <c r="R52" s="478" t="s">
        <v>1191</v>
      </c>
      <c r="S52" s="478" t="s">
        <v>1191</v>
      </c>
      <c r="T52" s="478" t="s">
        <v>1189</v>
      </c>
      <c r="U52" s="478" t="s">
        <v>1189</v>
      </c>
      <c r="V52" s="478" t="s">
        <v>1189</v>
      </c>
      <c r="W52" s="478" t="s">
        <v>150</v>
      </c>
      <c r="X52" s="478" t="s">
        <v>1189</v>
      </c>
      <c r="Y52" s="478" t="s">
        <v>150</v>
      </c>
      <c r="Z52" s="478" t="s">
        <v>1192</v>
      </c>
      <c r="AA52" s="478" t="s">
        <v>150</v>
      </c>
      <c r="AB52" s="478" t="s">
        <v>150</v>
      </c>
    </row>
    <row r="53" spans="1:28" x14ac:dyDescent="0.25">
      <c r="A53" s="24" t="str">
        <f t="shared" si="0"/>
        <v>Homefields Primary School</v>
      </c>
      <c r="B53" s="477">
        <v>146477</v>
      </c>
      <c r="C53" s="478" t="s">
        <v>1181</v>
      </c>
      <c r="D53" s="478" t="s">
        <v>1182</v>
      </c>
      <c r="E53" s="477">
        <v>2006</v>
      </c>
      <c r="F53" s="478" t="s">
        <v>89</v>
      </c>
      <c r="G53" s="478" t="s">
        <v>1226</v>
      </c>
      <c r="H53" s="478" t="s">
        <v>1185</v>
      </c>
      <c r="I53" s="478" t="s">
        <v>1275</v>
      </c>
      <c r="J53" s="478" t="s">
        <v>150</v>
      </c>
      <c r="K53" s="478" t="s">
        <v>265</v>
      </c>
      <c r="L53" s="477">
        <v>3</v>
      </c>
      <c r="M53" s="477">
        <v>11</v>
      </c>
      <c r="N53" s="478" t="s">
        <v>1187</v>
      </c>
      <c r="O53" s="478" t="s">
        <v>1188</v>
      </c>
      <c r="P53" s="478" t="s">
        <v>1205</v>
      </c>
      <c r="Q53" s="478" t="s">
        <v>1190</v>
      </c>
      <c r="R53" s="478" t="s">
        <v>1191</v>
      </c>
      <c r="S53" s="478" t="s">
        <v>1191</v>
      </c>
      <c r="T53" s="478" t="s">
        <v>1189</v>
      </c>
      <c r="U53" s="478" t="s">
        <v>1214</v>
      </c>
      <c r="V53" s="478" t="s">
        <v>1222</v>
      </c>
      <c r="W53" s="478" t="s">
        <v>1276</v>
      </c>
      <c r="X53" s="478" t="s">
        <v>1224</v>
      </c>
      <c r="Y53" s="478" t="s">
        <v>1277</v>
      </c>
      <c r="Z53" s="478" t="s">
        <v>1189</v>
      </c>
      <c r="AA53" s="478" t="s">
        <v>150</v>
      </c>
      <c r="AB53" s="477">
        <v>10083346</v>
      </c>
    </row>
    <row r="54" spans="1:28" x14ac:dyDescent="0.25">
      <c r="A54" s="24" t="str">
        <f t="shared" si="0"/>
        <v>Lakeside Primary Academy</v>
      </c>
      <c r="B54" s="477">
        <v>146080</v>
      </c>
      <c r="C54" s="478" t="s">
        <v>1181</v>
      </c>
      <c r="D54" s="478" t="s">
        <v>1182</v>
      </c>
      <c r="E54" s="477">
        <v>2022</v>
      </c>
      <c r="F54" s="478" t="s">
        <v>104</v>
      </c>
      <c r="G54" s="478" t="s">
        <v>1220</v>
      </c>
      <c r="H54" s="478" t="s">
        <v>1185</v>
      </c>
      <c r="I54" s="478" t="s">
        <v>1274</v>
      </c>
      <c r="J54" s="478" t="s">
        <v>150</v>
      </c>
      <c r="K54" s="478" t="s">
        <v>265</v>
      </c>
      <c r="L54" s="477">
        <v>3</v>
      </c>
      <c r="M54" s="477">
        <v>11</v>
      </c>
      <c r="N54" s="478" t="s">
        <v>1187</v>
      </c>
      <c r="O54" s="478" t="s">
        <v>1188</v>
      </c>
      <c r="P54" s="478" t="s">
        <v>1205</v>
      </c>
      <c r="Q54" s="478" t="s">
        <v>1190</v>
      </c>
      <c r="R54" s="478" t="s">
        <v>1191</v>
      </c>
      <c r="S54" s="478" t="s">
        <v>1191</v>
      </c>
      <c r="T54" s="478" t="s">
        <v>1189</v>
      </c>
      <c r="U54" s="478" t="s">
        <v>1189</v>
      </c>
      <c r="V54" s="478" t="s">
        <v>1222</v>
      </c>
      <c r="W54" s="478" t="s">
        <v>1264</v>
      </c>
      <c r="X54" s="478" t="s">
        <v>1224</v>
      </c>
      <c r="Y54" s="478" t="s">
        <v>1265</v>
      </c>
      <c r="Z54" s="478" t="s">
        <v>1189</v>
      </c>
      <c r="AA54" s="478" t="s">
        <v>150</v>
      </c>
      <c r="AB54" s="477">
        <v>10068289</v>
      </c>
    </row>
    <row r="55" spans="1:28" x14ac:dyDescent="0.25">
      <c r="A55" s="24" t="str">
        <f t="shared" si="0"/>
        <v>Landau Forte Academy Moorhead</v>
      </c>
      <c r="B55" s="477">
        <v>138790</v>
      </c>
      <c r="C55" s="478" t="s">
        <v>1181</v>
      </c>
      <c r="D55" s="478" t="s">
        <v>1182</v>
      </c>
      <c r="E55" s="477">
        <v>2009</v>
      </c>
      <c r="F55" s="478" t="s">
        <v>92</v>
      </c>
      <c r="G55" s="478" t="s">
        <v>1220</v>
      </c>
      <c r="H55" s="478" t="s">
        <v>1185</v>
      </c>
      <c r="I55" s="478" t="s">
        <v>1232</v>
      </c>
      <c r="J55" s="478" t="s">
        <v>150</v>
      </c>
      <c r="K55" s="478" t="s">
        <v>265</v>
      </c>
      <c r="L55" s="477">
        <v>4</v>
      </c>
      <c r="M55" s="477">
        <v>11</v>
      </c>
      <c r="N55" s="478" t="s">
        <v>1187</v>
      </c>
      <c r="O55" s="478" t="s">
        <v>1189</v>
      </c>
      <c r="P55" s="478" t="s">
        <v>1189</v>
      </c>
      <c r="Q55" s="478" t="s">
        <v>1190</v>
      </c>
      <c r="R55" s="478" t="s">
        <v>1191</v>
      </c>
      <c r="S55" s="478" t="s">
        <v>1213</v>
      </c>
      <c r="T55" s="478" t="s">
        <v>1189</v>
      </c>
      <c r="U55" s="478" t="s">
        <v>1189</v>
      </c>
      <c r="V55" s="478" t="s">
        <v>1222</v>
      </c>
      <c r="W55" s="478" t="s">
        <v>1223</v>
      </c>
      <c r="X55" s="478" t="s">
        <v>1224</v>
      </c>
      <c r="Y55" s="478" t="s">
        <v>1225</v>
      </c>
      <c r="Z55" s="478" t="s">
        <v>1189</v>
      </c>
      <c r="AA55" s="478" t="s">
        <v>150</v>
      </c>
      <c r="AB55" s="477">
        <v>10038862</v>
      </c>
    </row>
    <row r="56" spans="1:28" x14ac:dyDescent="0.25">
      <c r="A56" s="24" t="str">
        <f t="shared" si="0"/>
        <v>Landau Forte College</v>
      </c>
      <c r="B56" s="477">
        <v>135120</v>
      </c>
      <c r="C56" s="478" t="s">
        <v>1181</v>
      </c>
      <c r="D56" s="478" t="s">
        <v>1182</v>
      </c>
      <c r="E56" s="477">
        <v>6905</v>
      </c>
      <c r="F56" s="478" t="s">
        <v>149</v>
      </c>
      <c r="G56" s="478" t="s">
        <v>1220</v>
      </c>
      <c r="H56" s="478" t="s">
        <v>1185</v>
      </c>
      <c r="I56" s="478" t="s">
        <v>1221</v>
      </c>
      <c r="J56" s="478" t="s">
        <v>150</v>
      </c>
      <c r="K56" s="478" t="s">
        <v>197</v>
      </c>
      <c r="L56" s="477">
        <v>11</v>
      </c>
      <c r="M56" s="477">
        <v>19</v>
      </c>
      <c r="N56" s="478" t="s">
        <v>1187</v>
      </c>
      <c r="O56" s="478" t="s">
        <v>1189</v>
      </c>
      <c r="P56" s="478" t="s">
        <v>1212</v>
      </c>
      <c r="Q56" s="478" t="s">
        <v>1190</v>
      </c>
      <c r="R56" s="478" t="s">
        <v>1191</v>
      </c>
      <c r="S56" s="478" t="s">
        <v>1213</v>
      </c>
      <c r="T56" s="478" t="s">
        <v>1189</v>
      </c>
      <c r="U56" s="478" t="s">
        <v>1214</v>
      </c>
      <c r="V56" s="478" t="s">
        <v>1222</v>
      </c>
      <c r="W56" s="478" t="s">
        <v>1223</v>
      </c>
      <c r="X56" s="478" t="s">
        <v>1224</v>
      </c>
      <c r="Y56" s="478" t="s">
        <v>1225</v>
      </c>
      <c r="Z56" s="478" t="s">
        <v>1189</v>
      </c>
      <c r="AA56" s="478" t="s">
        <v>150</v>
      </c>
      <c r="AB56" s="477">
        <v>10018562</v>
      </c>
    </row>
    <row r="57" spans="1:28" x14ac:dyDescent="0.25">
      <c r="A57" s="24" t="str">
        <f t="shared" si="0"/>
        <v>Lawn Primary School</v>
      </c>
      <c r="B57" s="477">
        <v>147624</v>
      </c>
      <c r="C57" s="478" t="s">
        <v>1181</v>
      </c>
      <c r="D57" s="478" t="s">
        <v>1182</v>
      </c>
      <c r="E57" s="477">
        <v>2522</v>
      </c>
      <c r="F57" s="478" t="s">
        <v>122</v>
      </c>
      <c r="G57" s="478" t="s">
        <v>1226</v>
      </c>
      <c r="H57" s="478" t="s">
        <v>1185</v>
      </c>
      <c r="I57" s="478" t="s">
        <v>1288</v>
      </c>
      <c r="J57" s="478" t="s">
        <v>150</v>
      </c>
      <c r="K57" s="478" t="s">
        <v>265</v>
      </c>
      <c r="L57" s="477">
        <v>4</v>
      </c>
      <c r="M57" s="477">
        <v>11</v>
      </c>
      <c r="N57" s="478" t="s">
        <v>1187</v>
      </c>
      <c r="O57" s="478" t="s">
        <v>1206</v>
      </c>
      <c r="P57" s="478" t="s">
        <v>1205</v>
      </c>
      <c r="Q57" s="478" t="s">
        <v>1190</v>
      </c>
      <c r="R57" s="478" t="s">
        <v>1191</v>
      </c>
      <c r="S57" s="478" t="s">
        <v>1191</v>
      </c>
      <c r="T57" s="478" t="s">
        <v>1189</v>
      </c>
      <c r="U57" s="478" t="s">
        <v>1189</v>
      </c>
      <c r="V57" s="478" t="s">
        <v>1222</v>
      </c>
      <c r="W57" s="478" t="s">
        <v>1241</v>
      </c>
      <c r="X57" s="478" t="s">
        <v>1224</v>
      </c>
      <c r="Y57" s="478" t="s">
        <v>1242</v>
      </c>
      <c r="Z57" s="478" t="s">
        <v>1189</v>
      </c>
      <c r="AA57" s="478" t="s">
        <v>150</v>
      </c>
      <c r="AB57" s="477">
        <v>10085001</v>
      </c>
    </row>
    <row r="58" spans="1:28" x14ac:dyDescent="0.25">
      <c r="A58" s="24" t="str">
        <f t="shared" si="0"/>
        <v>Lees Brook Academy</v>
      </c>
      <c r="B58" s="477">
        <v>143934</v>
      </c>
      <c r="C58" s="478" t="s">
        <v>1181</v>
      </c>
      <c r="D58" s="478" t="s">
        <v>1182</v>
      </c>
      <c r="E58" s="477">
        <v>4006</v>
      </c>
      <c r="F58" s="478" t="s">
        <v>139</v>
      </c>
      <c r="G58" s="478" t="s">
        <v>1226</v>
      </c>
      <c r="H58" s="478" t="s">
        <v>1185</v>
      </c>
      <c r="I58" s="478" t="s">
        <v>1256</v>
      </c>
      <c r="J58" s="478" t="s">
        <v>150</v>
      </c>
      <c r="K58" s="478" t="s">
        <v>197</v>
      </c>
      <c r="L58" s="477">
        <v>11</v>
      </c>
      <c r="M58" s="477">
        <v>18</v>
      </c>
      <c r="N58" s="478" t="s">
        <v>1189</v>
      </c>
      <c r="O58" s="478" t="s">
        <v>1189</v>
      </c>
      <c r="P58" s="478" t="s">
        <v>1212</v>
      </c>
      <c r="Q58" s="478" t="s">
        <v>1190</v>
      </c>
      <c r="R58" s="478" t="s">
        <v>1213</v>
      </c>
      <c r="S58" s="478" t="s">
        <v>1191</v>
      </c>
      <c r="T58" s="478" t="s">
        <v>150</v>
      </c>
      <c r="U58" s="478" t="s">
        <v>150</v>
      </c>
      <c r="V58" s="478" t="s">
        <v>1222</v>
      </c>
      <c r="W58" s="478" t="s">
        <v>1257</v>
      </c>
      <c r="X58" s="478" t="s">
        <v>1224</v>
      </c>
      <c r="Y58" s="478" t="s">
        <v>1258</v>
      </c>
      <c r="Z58" s="478" t="s">
        <v>1189</v>
      </c>
      <c r="AA58" s="478" t="s">
        <v>150</v>
      </c>
      <c r="AB58" s="477">
        <v>10062354</v>
      </c>
    </row>
    <row r="59" spans="1:28" x14ac:dyDescent="0.25">
      <c r="A59" s="24" t="str">
        <f t="shared" si="0"/>
        <v>Littleover Community School</v>
      </c>
      <c r="B59" s="477">
        <v>112956</v>
      </c>
      <c r="C59" s="478" t="s">
        <v>1181</v>
      </c>
      <c r="D59" s="478" t="s">
        <v>1182</v>
      </c>
      <c r="E59" s="477">
        <v>4182</v>
      </c>
      <c r="F59" s="478" t="s">
        <v>84</v>
      </c>
      <c r="G59" s="478" t="s">
        <v>1204</v>
      </c>
      <c r="H59" s="478" t="s">
        <v>1185</v>
      </c>
      <c r="I59" s="478" t="s">
        <v>150</v>
      </c>
      <c r="J59" s="478" t="s">
        <v>150</v>
      </c>
      <c r="K59" s="478" t="s">
        <v>197</v>
      </c>
      <c r="L59" s="477">
        <v>11</v>
      </c>
      <c r="M59" s="477">
        <v>18</v>
      </c>
      <c r="N59" s="478" t="s">
        <v>1187</v>
      </c>
      <c r="O59" s="478" t="s">
        <v>1206</v>
      </c>
      <c r="P59" s="478" t="s">
        <v>1212</v>
      </c>
      <c r="Q59" s="478" t="s">
        <v>1190</v>
      </c>
      <c r="R59" s="478" t="s">
        <v>1191</v>
      </c>
      <c r="S59" s="478" t="s">
        <v>1191</v>
      </c>
      <c r="T59" s="478" t="s">
        <v>1189</v>
      </c>
      <c r="U59" s="478" t="s">
        <v>1214</v>
      </c>
      <c r="V59" s="478" t="s">
        <v>1189</v>
      </c>
      <c r="W59" s="478" t="s">
        <v>150</v>
      </c>
      <c r="X59" s="478" t="s">
        <v>1189</v>
      </c>
      <c r="Y59" s="478" t="s">
        <v>150</v>
      </c>
      <c r="Z59" s="478" t="s">
        <v>1192</v>
      </c>
      <c r="AA59" s="478" t="s">
        <v>150</v>
      </c>
      <c r="AB59" s="477">
        <v>10003952</v>
      </c>
    </row>
    <row r="60" spans="1:28" x14ac:dyDescent="0.25">
      <c r="A60" s="24" t="str">
        <f t="shared" si="0"/>
        <v>Lord Street Nursery School</v>
      </c>
      <c r="B60" s="477">
        <v>112471</v>
      </c>
      <c r="C60" s="478" t="s">
        <v>1181</v>
      </c>
      <c r="D60" s="478" t="s">
        <v>1182</v>
      </c>
      <c r="E60" s="477">
        <v>1005</v>
      </c>
      <c r="F60" s="478" t="s">
        <v>1183</v>
      </c>
      <c r="G60" s="478" t="s">
        <v>1184</v>
      </c>
      <c r="H60" s="478" t="s">
        <v>1185</v>
      </c>
      <c r="I60" s="478" t="s">
        <v>150</v>
      </c>
      <c r="J60" s="478" t="s">
        <v>150</v>
      </c>
      <c r="K60" s="478" t="s">
        <v>1186</v>
      </c>
      <c r="L60" s="477">
        <v>2</v>
      </c>
      <c r="M60" s="477">
        <v>5</v>
      </c>
      <c r="N60" s="478" t="s">
        <v>1187</v>
      </c>
      <c r="O60" s="478" t="s">
        <v>1188</v>
      </c>
      <c r="P60" s="478" t="s">
        <v>1189</v>
      </c>
      <c r="Q60" s="478" t="s">
        <v>1190</v>
      </c>
      <c r="R60" s="478" t="s">
        <v>1191</v>
      </c>
      <c r="S60" s="478" t="s">
        <v>1191</v>
      </c>
      <c r="T60" s="478" t="s">
        <v>1189</v>
      </c>
      <c r="U60" s="478" t="s">
        <v>1189</v>
      </c>
      <c r="V60" s="478" t="s">
        <v>1189</v>
      </c>
      <c r="W60" s="478" t="s">
        <v>150</v>
      </c>
      <c r="X60" s="478" t="s">
        <v>1189</v>
      </c>
      <c r="Y60" s="478" t="s">
        <v>150</v>
      </c>
      <c r="Z60" s="478" t="s">
        <v>1192</v>
      </c>
      <c r="AA60" s="478" t="s">
        <v>150</v>
      </c>
      <c r="AB60" s="478" t="s">
        <v>150</v>
      </c>
    </row>
    <row r="61" spans="1:28" x14ac:dyDescent="0.25">
      <c r="A61" s="24" t="str">
        <f t="shared" si="0"/>
        <v>Markeaton Primary School</v>
      </c>
      <c r="B61" s="477">
        <v>112739</v>
      </c>
      <c r="C61" s="478" t="s">
        <v>1181</v>
      </c>
      <c r="D61" s="478" t="s">
        <v>1182</v>
      </c>
      <c r="E61" s="477">
        <v>2436</v>
      </c>
      <c r="F61" s="478" t="s">
        <v>68</v>
      </c>
      <c r="G61" s="478" t="s">
        <v>1204</v>
      </c>
      <c r="H61" s="478" t="s">
        <v>1185</v>
      </c>
      <c r="I61" s="478" t="s">
        <v>150</v>
      </c>
      <c r="J61" s="478" t="s">
        <v>150</v>
      </c>
      <c r="K61" s="478" t="s">
        <v>265</v>
      </c>
      <c r="L61" s="477">
        <v>4</v>
      </c>
      <c r="M61" s="477">
        <v>11</v>
      </c>
      <c r="N61" s="478" t="s">
        <v>1187</v>
      </c>
      <c r="O61" s="478" t="s">
        <v>1206</v>
      </c>
      <c r="P61" s="478" t="s">
        <v>1205</v>
      </c>
      <c r="Q61" s="478" t="s">
        <v>1190</v>
      </c>
      <c r="R61" s="478" t="s">
        <v>1191</v>
      </c>
      <c r="S61" s="478" t="s">
        <v>1191</v>
      </c>
      <c r="T61" s="478" t="s">
        <v>1189</v>
      </c>
      <c r="U61" s="478" t="s">
        <v>1189</v>
      </c>
      <c r="V61" s="478" t="s">
        <v>1189</v>
      </c>
      <c r="W61" s="478" t="s">
        <v>150</v>
      </c>
      <c r="X61" s="478" t="s">
        <v>1189</v>
      </c>
      <c r="Y61" s="478" t="s">
        <v>150</v>
      </c>
      <c r="Z61" s="478" t="s">
        <v>1192</v>
      </c>
      <c r="AA61" s="478" t="s">
        <v>150</v>
      </c>
      <c r="AB61" s="477">
        <v>10077125</v>
      </c>
    </row>
    <row r="62" spans="1:28" x14ac:dyDescent="0.25">
      <c r="A62" s="24" t="str">
        <f t="shared" si="0"/>
        <v>Meadow Farm Community Primary School</v>
      </c>
      <c r="B62" s="477">
        <v>112752</v>
      </c>
      <c r="C62" s="478" t="s">
        <v>1181</v>
      </c>
      <c r="D62" s="478" t="s">
        <v>1182</v>
      </c>
      <c r="E62" s="477">
        <v>2452</v>
      </c>
      <c r="F62" s="478" t="s">
        <v>73</v>
      </c>
      <c r="G62" s="478" t="s">
        <v>1204</v>
      </c>
      <c r="H62" s="478" t="s">
        <v>1185</v>
      </c>
      <c r="I62" s="478" t="s">
        <v>150</v>
      </c>
      <c r="J62" s="478" t="s">
        <v>150</v>
      </c>
      <c r="K62" s="478" t="s">
        <v>265</v>
      </c>
      <c r="L62" s="477">
        <v>3</v>
      </c>
      <c r="M62" s="477">
        <v>11</v>
      </c>
      <c r="N62" s="478" t="s">
        <v>1187</v>
      </c>
      <c r="O62" s="478" t="s">
        <v>1188</v>
      </c>
      <c r="P62" s="478" t="s">
        <v>1205</v>
      </c>
      <c r="Q62" s="478" t="s">
        <v>1190</v>
      </c>
      <c r="R62" s="478" t="s">
        <v>1191</v>
      </c>
      <c r="S62" s="478" t="s">
        <v>1191</v>
      </c>
      <c r="T62" s="478" t="s">
        <v>1189</v>
      </c>
      <c r="U62" s="478" t="s">
        <v>1189</v>
      </c>
      <c r="V62" s="478" t="s">
        <v>1189</v>
      </c>
      <c r="W62" s="478" t="s">
        <v>150</v>
      </c>
      <c r="X62" s="478" t="s">
        <v>1189</v>
      </c>
      <c r="Y62" s="478" t="s">
        <v>150</v>
      </c>
      <c r="Z62" s="478" t="s">
        <v>1192</v>
      </c>
      <c r="AA62" s="478" t="s">
        <v>150</v>
      </c>
      <c r="AB62" s="477">
        <v>10070868</v>
      </c>
    </row>
    <row r="63" spans="1:28" x14ac:dyDescent="0.25">
      <c r="A63" s="24" t="str">
        <f t="shared" si="0"/>
        <v>Mickleover Primary School</v>
      </c>
      <c r="B63" s="477">
        <v>112790</v>
      </c>
      <c r="C63" s="478" t="s">
        <v>1181</v>
      </c>
      <c r="D63" s="478" t="s">
        <v>1182</v>
      </c>
      <c r="E63" s="477">
        <v>2627</v>
      </c>
      <c r="F63" s="478" t="s">
        <v>81</v>
      </c>
      <c r="G63" s="478" t="s">
        <v>1204</v>
      </c>
      <c r="H63" s="478" t="s">
        <v>1185</v>
      </c>
      <c r="I63" s="478" t="s">
        <v>150</v>
      </c>
      <c r="J63" s="478" t="s">
        <v>150</v>
      </c>
      <c r="K63" s="478" t="s">
        <v>265</v>
      </c>
      <c r="L63" s="477">
        <v>4</v>
      </c>
      <c r="M63" s="477">
        <v>11</v>
      </c>
      <c r="N63" s="478" t="s">
        <v>1187</v>
      </c>
      <c r="O63" s="478" t="s">
        <v>1206</v>
      </c>
      <c r="P63" s="478" t="s">
        <v>1205</v>
      </c>
      <c r="Q63" s="478" t="s">
        <v>1190</v>
      </c>
      <c r="R63" s="478" t="s">
        <v>1191</v>
      </c>
      <c r="S63" s="478" t="s">
        <v>1191</v>
      </c>
      <c r="T63" s="478" t="s">
        <v>1189</v>
      </c>
      <c r="U63" s="478" t="s">
        <v>1189</v>
      </c>
      <c r="V63" s="478" t="s">
        <v>1189</v>
      </c>
      <c r="W63" s="478" t="s">
        <v>150</v>
      </c>
      <c r="X63" s="478" t="s">
        <v>1189</v>
      </c>
      <c r="Y63" s="478" t="s">
        <v>150</v>
      </c>
      <c r="Z63" s="478" t="s">
        <v>1192</v>
      </c>
      <c r="AA63" s="478" t="s">
        <v>150</v>
      </c>
      <c r="AB63" s="477">
        <v>10073278</v>
      </c>
    </row>
    <row r="64" spans="1:28" x14ac:dyDescent="0.25">
      <c r="A64" s="24" t="str">
        <f t="shared" si="0"/>
        <v>Murray Park Community School</v>
      </c>
      <c r="B64" s="477">
        <v>112991</v>
      </c>
      <c r="C64" s="478" t="s">
        <v>1181</v>
      </c>
      <c r="D64" s="478" t="s">
        <v>1182</v>
      </c>
      <c r="E64" s="477">
        <v>5406</v>
      </c>
      <c r="F64" s="478" t="s">
        <v>85</v>
      </c>
      <c r="G64" s="478" t="s">
        <v>1211</v>
      </c>
      <c r="H64" s="478" t="s">
        <v>1185</v>
      </c>
      <c r="I64" s="478" t="s">
        <v>150</v>
      </c>
      <c r="J64" s="478" t="s">
        <v>150</v>
      </c>
      <c r="K64" s="478" t="s">
        <v>197</v>
      </c>
      <c r="L64" s="477">
        <v>11</v>
      </c>
      <c r="M64" s="477">
        <v>16</v>
      </c>
      <c r="N64" s="478" t="s">
        <v>1187</v>
      </c>
      <c r="O64" s="478" t="s">
        <v>1206</v>
      </c>
      <c r="P64" s="478" t="s">
        <v>1205</v>
      </c>
      <c r="Q64" s="478" t="s">
        <v>1190</v>
      </c>
      <c r="R64" s="478" t="s">
        <v>1213</v>
      </c>
      <c r="S64" s="478" t="s">
        <v>1191</v>
      </c>
      <c r="T64" s="478" t="s">
        <v>1189</v>
      </c>
      <c r="U64" s="478" t="s">
        <v>1214</v>
      </c>
      <c r="V64" s="478" t="s">
        <v>1217</v>
      </c>
      <c r="W64" s="478" t="s">
        <v>150</v>
      </c>
      <c r="X64" s="478" t="s">
        <v>1189</v>
      </c>
      <c r="Y64" s="478" t="s">
        <v>150</v>
      </c>
      <c r="Z64" s="478" t="s">
        <v>1192</v>
      </c>
      <c r="AA64" s="478" t="s">
        <v>150</v>
      </c>
      <c r="AB64" s="477">
        <v>10007968</v>
      </c>
    </row>
    <row r="65" spans="1:28" x14ac:dyDescent="0.25">
      <c r="A65" s="24" t="str">
        <f t="shared" si="0"/>
        <v>Noel-Baker Academy</v>
      </c>
      <c r="B65" s="477">
        <v>143853</v>
      </c>
      <c r="C65" s="478" t="s">
        <v>1181</v>
      </c>
      <c r="D65" s="478" t="s">
        <v>1182</v>
      </c>
      <c r="E65" s="477">
        <v>4005</v>
      </c>
      <c r="F65" s="478" t="s">
        <v>138</v>
      </c>
      <c r="G65" s="478" t="s">
        <v>1220</v>
      </c>
      <c r="H65" s="478" t="s">
        <v>1185</v>
      </c>
      <c r="I65" s="478" t="s">
        <v>1253</v>
      </c>
      <c r="J65" s="478" t="s">
        <v>150</v>
      </c>
      <c r="K65" s="478" t="s">
        <v>197</v>
      </c>
      <c r="L65" s="477">
        <v>11</v>
      </c>
      <c r="M65" s="477">
        <v>16</v>
      </c>
      <c r="N65" s="478" t="s">
        <v>1187</v>
      </c>
      <c r="O65" s="478" t="s">
        <v>1206</v>
      </c>
      <c r="P65" s="478" t="s">
        <v>1205</v>
      </c>
      <c r="Q65" s="478" t="s">
        <v>1190</v>
      </c>
      <c r="R65" s="478" t="s">
        <v>1191</v>
      </c>
      <c r="S65" s="478" t="s">
        <v>150</v>
      </c>
      <c r="T65" s="478" t="s">
        <v>1189</v>
      </c>
      <c r="U65" s="478" t="s">
        <v>1189</v>
      </c>
      <c r="V65" s="478" t="s">
        <v>1222</v>
      </c>
      <c r="W65" s="478" t="s">
        <v>1254</v>
      </c>
      <c r="X65" s="478" t="s">
        <v>1224</v>
      </c>
      <c r="Y65" s="478" t="s">
        <v>1255</v>
      </c>
      <c r="Z65" s="478" t="s">
        <v>1189</v>
      </c>
      <c r="AA65" s="478" t="s">
        <v>150</v>
      </c>
      <c r="AB65" s="477">
        <v>10062277</v>
      </c>
    </row>
    <row r="66" spans="1:28" x14ac:dyDescent="0.25">
      <c r="A66" s="24" t="str">
        <f t="shared" ref="A66:A105" si="1">F66</f>
        <v>Oak Grange Primary School</v>
      </c>
      <c r="B66" s="477">
        <v>149747</v>
      </c>
      <c r="C66" s="478" t="s">
        <v>1181</v>
      </c>
      <c r="D66" s="478" t="s">
        <v>1182</v>
      </c>
      <c r="E66" s="477">
        <v>2028</v>
      </c>
      <c r="F66" s="478" t="s">
        <v>151</v>
      </c>
      <c r="G66" s="478" t="s">
        <v>1239</v>
      </c>
      <c r="H66" s="478" t="s">
        <v>1185</v>
      </c>
      <c r="I66" s="478" t="s">
        <v>1294</v>
      </c>
      <c r="J66" s="478" t="s">
        <v>150</v>
      </c>
      <c r="K66" s="478" t="s">
        <v>265</v>
      </c>
      <c r="L66" s="477">
        <v>3</v>
      </c>
      <c r="M66" s="477">
        <v>11</v>
      </c>
      <c r="N66" s="478" t="s">
        <v>1187</v>
      </c>
      <c r="O66" s="478" t="s">
        <v>1188</v>
      </c>
      <c r="P66" s="478" t="s">
        <v>1205</v>
      </c>
      <c r="Q66" s="478" t="s">
        <v>1190</v>
      </c>
      <c r="R66" s="478" t="s">
        <v>1213</v>
      </c>
      <c r="S66" s="478" t="s">
        <v>1213</v>
      </c>
      <c r="T66" s="478" t="s">
        <v>1189</v>
      </c>
      <c r="U66" s="478" t="s">
        <v>1214</v>
      </c>
      <c r="V66" s="478" t="s">
        <v>1222</v>
      </c>
      <c r="W66" s="478" t="s">
        <v>1276</v>
      </c>
      <c r="X66" s="478" t="s">
        <v>1224</v>
      </c>
      <c r="Y66" s="478" t="s">
        <v>1277</v>
      </c>
      <c r="Z66" s="478" t="s">
        <v>1189</v>
      </c>
      <c r="AA66" s="478" t="s">
        <v>150</v>
      </c>
      <c r="AB66" s="477">
        <v>10093058</v>
      </c>
    </row>
    <row r="67" spans="1:28" x14ac:dyDescent="0.25">
      <c r="A67" s="24" t="str">
        <f t="shared" si="1"/>
        <v>Oakwood Infant and Nursery School</v>
      </c>
      <c r="B67" s="477">
        <v>112767</v>
      </c>
      <c r="C67" s="478" t="s">
        <v>1181</v>
      </c>
      <c r="D67" s="478" t="s">
        <v>1182</v>
      </c>
      <c r="E67" s="477">
        <v>2473</v>
      </c>
      <c r="F67" s="478" t="s">
        <v>79</v>
      </c>
      <c r="G67" s="478" t="s">
        <v>1204</v>
      </c>
      <c r="H67" s="478" t="s">
        <v>1185</v>
      </c>
      <c r="I67" s="478" t="s">
        <v>150</v>
      </c>
      <c r="J67" s="478" t="s">
        <v>150</v>
      </c>
      <c r="K67" s="478" t="s">
        <v>265</v>
      </c>
      <c r="L67" s="477">
        <v>3</v>
      </c>
      <c r="M67" s="477">
        <v>7</v>
      </c>
      <c r="N67" s="478" t="s">
        <v>1187</v>
      </c>
      <c r="O67" s="478" t="s">
        <v>1188</v>
      </c>
      <c r="P67" s="478" t="s">
        <v>1205</v>
      </c>
      <c r="Q67" s="478" t="s">
        <v>1190</v>
      </c>
      <c r="R67" s="478" t="s">
        <v>1191</v>
      </c>
      <c r="S67" s="478" t="s">
        <v>1191</v>
      </c>
      <c r="T67" s="478" t="s">
        <v>1189</v>
      </c>
      <c r="U67" s="478" t="s">
        <v>1189</v>
      </c>
      <c r="V67" s="478" t="s">
        <v>1189</v>
      </c>
      <c r="W67" s="478" t="s">
        <v>150</v>
      </c>
      <c r="X67" s="478" t="s">
        <v>1189</v>
      </c>
      <c r="Y67" s="478" t="s">
        <v>150</v>
      </c>
      <c r="Z67" s="478" t="s">
        <v>1192</v>
      </c>
      <c r="AA67" s="478" t="s">
        <v>150</v>
      </c>
      <c r="AB67" s="477">
        <v>10076473</v>
      </c>
    </row>
    <row r="68" spans="1:28" x14ac:dyDescent="0.25">
      <c r="A68" s="24" t="str">
        <f t="shared" si="1"/>
        <v>Oakwood Junior School</v>
      </c>
      <c r="B68" s="477">
        <v>146938</v>
      </c>
      <c r="C68" s="478" t="s">
        <v>1181</v>
      </c>
      <c r="D68" s="478" t="s">
        <v>1182</v>
      </c>
      <c r="E68" s="477">
        <v>2471</v>
      </c>
      <c r="F68" s="478" t="s">
        <v>119</v>
      </c>
      <c r="G68" s="478" t="s">
        <v>1226</v>
      </c>
      <c r="H68" s="478" t="s">
        <v>1185</v>
      </c>
      <c r="I68" s="478" t="s">
        <v>1282</v>
      </c>
      <c r="J68" s="478" t="s">
        <v>150</v>
      </c>
      <c r="K68" s="478" t="s">
        <v>265</v>
      </c>
      <c r="L68" s="477">
        <v>7</v>
      </c>
      <c r="M68" s="477">
        <v>11</v>
      </c>
      <c r="N68" s="478" t="s">
        <v>1187</v>
      </c>
      <c r="O68" s="478" t="s">
        <v>1206</v>
      </c>
      <c r="P68" s="478" t="s">
        <v>1205</v>
      </c>
      <c r="Q68" s="478" t="s">
        <v>1190</v>
      </c>
      <c r="R68" s="478" t="s">
        <v>1191</v>
      </c>
      <c r="S68" s="478" t="s">
        <v>1191</v>
      </c>
      <c r="T68" s="478" t="s">
        <v>1189</v>
      </c>
      <c r="U68" s="478" t="s">
        <v>1189</v>
      </c>
      <c r="V68" s="478" t="s">
        <v>1222</v>
      </c>
      <c r="W68" s="478" t="s">
        <v>1281</v>
      </c>
      <c r="X68" s="478" t="s">
        <v>1230</v>
      </c>
      <c r="Y68" s="478" t="s">
        <v>150</v>
      </c>
      <c r="Z68" s="478" t="s">
        <v>1189</v>
      </c>
      <c r="AA68" s="478" t="s">
        <v>150</v>
      </c>
      <c r="AB68" s="477">
        <v>10086779</v>
      </c>
    </row>
    <row r="69" spans="1:28" x14ac:dyDescent="0.25">
      <c r="A69" s="24" t="str">
        <f t="shared" si="1"/>
        <v>Parkview Primary School</v>
      </c>
      <c r="B69" s="477">
        <v>131799</v>
      </c>
      <c r="C69" s="478" t="s">
        <v>1181</v>
      </c>
      <c r="D69" s="478" t="s">
        <v>1182</v>
      </c>
      <c r="E69" s="477">
        <v>2003</v>
      </c>
      <c r="F69" s="478" t="s">
        <v>62</v>
      </c>
      <c r="G69" s="478" t="s">
        <v>1204</v>
      </c>
      <c r="H69" s="478" t="s">
        <v>1185</v>
      </c>
      <c r="I69" s="478" t="s">
        <v>1219</v>
      </c>
      <c r="J69" s="478" t="s">
        <v>150</v>
      </c>
      <c r="K69" s="478" t="s">
        <v>265</v>
      </c>
      <c r="L69" s="477">
        <v>3</v>
      </c>
      <c r="M69" s="477">
        <v>11</v>
      </c>
      <c r="N69" s="478" t="s">
        <v>1187</v>
      </c>
      <c r="O69" s="478" t="s">
        <v>1188</v>
      </c>
      <c r="P69" s="478" t="s">
        <v>1205</v>
      </c>
      <c r="Q69" s="478" t="s">
        <v>1190</v>
      </c>
      <c r="R69" s="478" t="s">
        <v>1191</v>
      </c>
      <c r="S69" s="478" t="s">
        <v>1191</v>
      </c>
      <c r="T69" s="478" t="s">
        <v>1189</v>
      </c>
      <c r="U69" s="478" t="s">
        <v>1189</v>
      </c>
      <c r="V69" s="478" t="s">
        <v>1189</v>
      </c>
      <c r="W69" s="478" t="s">
        <v>150</v>
      </c>
      <c r="X69" s="478" t="s">
        <v>1189</v>
      </c>
      <c r="Y69" s="478" t="s">
        <v>150</v>
      </c>
      <c r="Z69" s="478" t="s">
        <v>1194</v>
      </c>
      <c r="AA69" s="478" t="s">
        <v>1207</v>
      </c>
      <c r="AB69" s="477">
        <v>10073652</v>
      </c>
    </row>
    <row r="70" spans="1:28" x14ac:dyDescent="0.25">
      <c r="A70" s="24" t="str">
        <f t="shared" si="1"/>
        <v>Pear Tree Community Junior School</v>
      </c>
      <c r="B70" s="477">
        <v>144466</v>
      </c>
      <c r="C70" s="478" t="s">
        <v>1181</v>
      </c>
      <c r="D70" s="478" t="s">
        <v>1182</v>
      </c>
      <c r="E70" s="477">
        <v>2017</v>
      </c>
      <c r="F70" s="478" t="s">
        <v>99</v>
      </c>
      <c r="G70" s="478" t="s">
        <v>1220</v>
      </c>
      <c r="H70" s="478" t="s">
        <v>1185</v>
      </c>
      <c r="I70" s="478" t="s">
        <v>1262</v>
      </c>
      <c r="J70" s="478" t="s">
        <v>150</v>
      </c>
      <c r="K70" s="478" t="s">
        <v>265</v>
      </c>
      <c r="L70" s="477">
        <v>7</v>
      </c>
      <c r="M70" s="477">
        <v>11</v>
      </c>
      <c r="N70" s="478" t="s">
        <v>1187</v>
      </c>
      <c r="O70" s="478" t="s">
        <v>1206</v>
      </c>
      <c r="P70" s="478" t="s">
        <v>1205</v>
      </c>
      <c r="Q70" s="478" t="s">
        <v>1190</v>
      </c>
      <c r="R70" s="478" t="s">
        <v>1191</v>
      </c>
      <c r="S70" s="478" t="s">
        <v>150</v>
      </c>
      <c r="T70" s="478" t="s">
        <v>1189</v>
      </c>
      <c r="U70" s="478" t="s">
        <v>1189</v>
      </c>
      <c r="V70" s="478" t="s">
        <v>1222</v>
      </c>
      <c r="W70" s="478" t="s">
        <v>1241</v>
      </c>
      <c r="X70" s="478" t="s">
        <v>1224</v>
      </c>
      <c r="Y70" s="478" t="s">
        <v>1242</v>
      </c>
      <c r="Z70" s="478" t="s">
        <v>1189</v>
      </c>
      <c r="AA70" s="478" t="s">
        <v>150</v>
      </c>
      <c r="AB70" s="477">
        <v>10063711</v>
      </c>
    </row>
    <row r="71" spans="1:28" x14ac:dyDescent="0.25">
      <c r="A71" s="24" t="str">
        <f t="shared" si="1"/>
        <v>Pear Tree Infant School</v>
      </c>
      <c r="B71" s="477">
        <v>112728</v>
      </c>
      <c r="C71" s="478" t="s">
        <v>1181</v>
      </c>
      <c r="D71" s="478" t="s">
        <v>1182</v>
      </c>
      <c r="E71" s="477">
        <v>2424</v>
      </c>
      <c r="F71" s="478" t="s">
        <v>66</v>
      </c>
      <c r="G71" s="478" t="s">
        <v>1204</v>
      </c>
      <c r="H71" s="478" t="s">
        <v>1185</v>
      </c>
      <c r="I71" s="478" t="s">
        <v>150</v>
      </c>
      <c r="J71" s="478" t="s">
        <v>150</v>
      </c>
      <c r="K71" s="478" t="s">
        <v>265</v>
      </c>
      <c r="L71" s="477">
        <v>5</v>
      </c>
      <c r="M71" s="477">
        <v>7</v>
      </c>
      <c r="N71" s="478" t="s">
        <v>1187</v>
      </c>
      <c r="O71" s="478" t="s">
        <v>1206</v>
      </c>
      <c r="P71" s="478" t="s">
        <v>1205</v>
      </c>
      <c r="Q71" s="478" t="s">
        <v>1190</v>
      </c>
      <c r="R71" s="478" t="s">
        <v>1191</v>
      </c>
      <c r="S71" s="478" t="s">
        <v>1191</v>
      </c>
      <c r="T71" s="478" t="s">
        <v>1189</v>
      </c>
      <c r="U71" s="478" t="s">
        <v>1189</v>
      </c>
      <c r="V71" s="478" t="s">
        <v>1189</v>
      </c>
      <c r="W71" s="478" t="s">
        <v>150</v>
      </c>
      <c r="X71" s="478" t="s">
        <v>1189</v>
      </c>
      <c r="Y71" s="478" t="s">
        <v>150</v>
      </c>
      <c r="Z71" s="478" t="s">
        <v>1194</v>
      </c>
      <c r="AA71" s="478" t="s">
        <v>1200</v>
      </c>
      <c r="AB71" s="477">
        <v>10076482</v>
      </c>
    </row>
    <row r="72" spans="1:28" x14ac:dyDescent="0.25">
      <c r="A72" s="24" t="str">
        <f t="shared" si="1"/>
        <v>Portway Infant School</v>
      </c>
      <c r="B72" s="477">
        <v>112740</v>
      </c>
      <c r="C72" s="478" t="s">
        <v>1181</v>
      </c>
      <c r="D72" s="478" t="s">
        <v>1182</v>
      </c>
      <c r="E72" s="477">
        <v>2439</v>
      </c>
      <c r="F72" s="478" t="s">
        <v>69</v>
      </c>
      <c r="G72" s="478" t="s">
        <v>1204</v>
      </c>
      <c r="H72" s="478" t="s">
        <v>1185</v>
      </c>
      <c r="I72" s="478" t="s">
        <v>150</v>
      </c>
      <c r="J72" s="478" t="s">
        <v>150</v>
      </c>
      <c r="K72" s="478" t="s">
        <v>265</v>
      </c>
      <c r="L72" s="477">
        <v>5</v>
      </c>
      <c r="M72" s="477">
        <v>7</v>
      </c>
      <c r="N72" s="478" t="s">
        <v>1187</v>
      </c>
      <c r="O72" s="478" t="s">
        <v>1206</v>
      </c>
      <c r="P72" s="478" t="s">
        <v>1205</v>
      </c>
      <c r="Q72" s="478" t="s">
        <v>1190</v>
      </c>
      <c r="R72" s="478" t="s">
        <v>1191</v>
      </c>
      <c r="S72" s="478" t="s">
        <v>1191</v>
      </c>
      <c r="T72" s="478" t="s">
        <v>1189</v>
      </c>
      <c r="U72" s="478" t="s">
        <v>1189</v>
      </c>
      <c r="V72" s="478" t="s">
        <v>1189</v>
      </c>
      <c r="W72" s="478" t="s">
        <v>150</v>
      </c>
      <c r="X72" s="478" t="s">
        <v>1189</v>
      </c>
      <c r="Y72" s="478" t="s">
        <v>150</v>
      </c>
      <c r="Z72" s="478" t="s">
        <v>1192</v>
      </c>
      <c r="AA72" s="478" t="s">
        <v>150</v>
      </c>
      <c r="AB72" s="477">
        <v>10076480</v>
      </c>
    </row>
    <row r="73" spans="1:28" x14ac:dyDescent="0.25">
      <c r="A73" s="24" t="str">
        <f t="shared" si="1"/>
        <v>Portway Junior School</v>
      </c>
      <c r="B73" s="477">
        <v>146879</v>
      </c>
      <c r="C73" s="478" t="s">
        <v>1181</v>
      </c>
      <c r="D73" s="478" t="s">
        <v>1182</v>
      </c>
      <c r="E73" s="477">
        <v>2440</v>
      </c>
      <c r="F73" s="478" t="s">
        <v>110</v>
      </c>
      <c r="G73" s="478" t="s">
        <v>1226</v>
      </c>
      <c r="H73" s="478" t="s">
        <v>1185</v>
      </c>
      <c r="I73" s="478" t="s">
        <v>1278</v>
      </c>
      <c r="J73" s="478" t="s">
        <v>150</v>
      </c>
      <c r="K73" s="478" t="s">
        <v>265</v>
      </c>
      <c r="L73" s="477">
        <v>7</v>
      </c>
      <c r="M73" s="477">
        <v>11</v>
      </c>
      <c r="N73" s="478" t="s">
        <v>1187</v>
      </c>
      <c r="O73" s="478" t="s">
        <v>1206</v>
      </c>
      <c r="P73" s="478" t="s">
        <v>1205</v>
      </c>
      <c r="Q73" s="478" t="s">
        <v>1190</v>
      </c>
      <c r="R73" s="478" t="s">
        <v>1191</v>
      </c>
      <c r="S73" s="478" t="s">
        <v>1191</v>
      </c>
      <c r="T73" s="478" t="s">
        <v>1189</v>
      </c>
      <c r="U73" s="478" t="s">
        <v>1189</v>
      </c>
      <c r="V73" s="478" t="s">
        <v>1222</v>
      </c>
      <c r="W73" s="478" t="s">
        <v>1281</v>
      </c>
      <c r="X73" s="478" t="s">
        <v>1230</v>
      </c>
      <c r="Y73" s="478" t="s">
        <v>150</v>
      </c>
      <c r="Z73" s="478" t="s">
        <v>1189</v>
      </c>
      <c r="AA73" s="478" t="s">
        <v>150</v>
      </c>
      <c r="AB73" s="477">
        <v>10082999</v>
      </c>
    </row>
    <row r="74" spans="1:28" x14ac:dyDescent="0.25">
      <c r="A74" s="24" t="str">
        <f t="shared" si="1"/>
        <v>Ravensdale Infant and Nursery School</v>
      </c>
      <c r="B74" s="477">
        <v>112759</v>
      </c>
      <c r="C74" s="478" t="s">
        <v>1181</v>
      </c>
      <c r="D74" s="478" t="s">
        <v>1182</v>
      </c>
      <c r="E74" s="477">
        <v>2462</v>
      </c>
      <c r="F74" s="478" t="s">
        <v>77</v>
      </c>
      <c r="G74" s="478" t="s">
        <v>1204</v>
      </c>
      <c r="H74" s="478" t="s">
        <v>1185</v>
      </c>
      <c r="I74" s="478" t="s">
        <v>150</v>
      </c>
      <c r="J74" s="478" t="s">
        <v>150</v>
      </c>
      <c r="K74" s="478" t="s">
        <v>265</v>
      </c>
      <c r="L74" s="477">
        <v>3</v>
      </c>
      <c r="M74" s="477">
        <v>7</v>
      </c>
      <c r="N74" s="478" t="s">
        <v>1187</v>
      </c>
      <c r="O74" s="478" t="s">
        <v>1188</v>
      </c>
      <c r="P74" s="478" t="s">
        <v>1205</v>
      </c>
      <c r="Q74" s="478" t="s">
        <v>1190</v>
      </c>
      <c r="R74" s="478" t="s">
        <v>1191</v>
      </c>
      <c r="S74" s="478" t="s">
        <v>1191</v>
      </c>
      <c r="T74" s="478" t="s">
        <v>1189</v>
      </c>
      <c r="U74" s="478" t="s">
        <v>1189</v>
      </c>
      <c r="V74" s="478" t="s">
        <v>1189</v>
      </c>
      <c r="W74" s="478" t="s">
        <v>150</v>
      </c>
      <c r="X74" s="478" t="s">
        <v>1189</v>
      </c>
      <c r="Y74" s="478" t="s">
        <v>150</v>
      </c>
      <c r="Z74" s="478" t="s">
        <v>1192</v>
      </c>
      <c r="AA74" s="478" t="s">
        <v>150</v>
      </c>
      <c r="AB74" s="477">
        <v>10076474</v>
      </c>
    </row>
    <row r="75" spans="1:28" x14ac:dyDescent="0.25">
      <c r="A75" s="24" t="str">
        <f t="shared" si="1"/>
        <v>Ravensdale Junior School</v>
      </c>
      <c r="B75" s="477">
        <v>147399</v>
      </c>
      <c r="C75" s="478" t="s">
        <v>1181</v>
      </c>
      <c r="D75" s="478" t="s">
        <v>1182</v>
      </c>
      <c r="E75" s="477">
        <v>2463</v>
      </c>
      <c r="F75" s="478" t="s">
        <v>115</v>
      </c>
      <c r="G75" s="478" t="s">
        <v>1226</v>
      </c>
      <c r="H75" s="478" t="s">
        <v>1185</v>
      </c>
      <c r="I75" s="478" t="s">
        <v>1285</v>
      </c>
      <c r="J75" s="478" t="s">
        <v>150</v>
      </c>
      <c r="K75" s="478" t="s">
        <v>265</v>
      </c>
      <c r="L75" s="477">
        <v>7</v>
      </c>
      <c r="M75" s="477">
        <v>11</v>
      </c>
      <c r="N75" s="478" t="s">
        <v>1187</v>
      </c>
      <c r="O75" s="478" t="s">
        <v>1206</v>
      </c>
      <c r="P75" s="478" t="s">
        <v>1205</v>
      </c>
      <c r="Q75" s="478" t="s">
        <v>1190</v>
      </c>
      <c r="R75" s="478" t="s">
        <v>1191</v>
      </c>
      <c r="S75" s="478" t="s">
        <v>1191</v>
      </c>
      <c r="T75" s="478" t="s">
        <v>1189</v>
      </c>
      <c r="U75" s="478" t="s">
        <v>1189</v>
      </c>
      <c r="V75" s="478" t="s">
        <v>1222</v>
      </c>
      <c r="W75" s="478" t="s">
        <v>1241</v>
      </c>
      <c r="X75" s="478" t="s">
        <v>1224</v>
      </c>
      <c r="Y75" s="478" t="s">
        <v>1242</v>
      </c>
      <c r="Z75" s="478" t="s">
        <v>1189</v>
      </c>
      <c r="AA75" s="478" t="s">
        <v>150</v>
      </c>
      <c r="AB75" s="477">
        <v>10084126</v>
      </c>
    </row>
    <row r="76" spans="1:28" x14ac:dyDescent="0.25">
      <c r="A76" s="24" t="str">
        <f t="shared" si="1"/>
        <v>Redwood Primary School</v>
      </c>
      <c r="B76" s="477">
        <v>112770</v>
      </c>
      <c r="C76" s="478" t="s">
        <v>1181</v>
      </c>
      <c r="D76" s="478" t="s">
        <v>1182</v>
      </c>
      <c r="E76" s="477">
        <v>2505</v>
      </c>
      <c r="F76" s="478" t="s">
        <v>80</v>
      </c>
      <c r="G76" s="478" t="s">
        <v>1204</v>
      </c>
      <c r="H76" s="478" t="s">
        <v>1185</v>
      </c>
      <c r="I76" s="478" t="s">
        <v>150</v>
      </c>
      <c r="J76" s="478" t="s">
        <v>150</v>
      </c>
      <c r="K76" s="478" t="s">
        <v>265</v>
      </c>
      <c r="L76" s="477">
        <v>3</v>
      </c>
      <c r="M76" s="477">
        <v>11</v>
      </c>
      <c r="N76" s="478" t="s">
        <v>1187</v>
      </c>
      <c r="O76" s="478" t="s">
        <v>1188</v>
      </c>
      <c r="P76" s="478" t="s">
        <v>1205</v>
      </c>
      <c r="Q76" s="478" t="s">
        <v>1190</v>
      </c>
      <c r="R76" s="478" t="s">
        <v>1191</v>
      </c>
      <c r="S76" s="478" t="s">
        <v>1191</v>
      </c>
      <c r="T76" s="478" t="s">
        <v>1189</v>
      </c>
      <c r="U76" s="478" t="s">
        <v>1189</v>
      </c>
      <c r="V76" s="478" t="s">
        <v>1189</v>
      </c>
      <c r="W76" s="478" t="s">
        <v>150</v>
      </c>
      <c r="X76" s="478" t="s">
        <v>1189</v>
      </c>
      <c r="Y76" s="478" t="s">
        <v>150</v>
      </c>
      <c r="Z76" s="478" t="s">
        <v>1194</v>
      </c>
      <c r="AA76" s="478" t="s">
        <v>1207</v>
      </c>
      <c r="AB76" s="477">
        <v>10070866</v>
      </c>
    </row>
    <row r="77" spans="1:28" x14ac:dyDescent="0.25">
      <c r="A77" s="24" t="str">
        <f t="shared" si="1"/>
        <v>Reigate Park Primary Academy</v>
      </c>
      <c r="B77" s="477">
        <v>145855</v>
      </c>
      <c r="C77" s="478" t="s">
        <v>1181</v>
      </c>
      <c r="D77" s="478" t="s">
        <v>1182</v>
      </c>
      <c r="E77" s="477">
        <v>2020</v>
      </c>
      <c r="F77" s="478" t="s">
        <v>102</v>
      </c>
      <c r="G77" s="478" t="s">
        <v>1220</v>
      </c>
      <c r="H77" s="478" t="s">
        <v>1185</v>
      </c>
      <c r="I77" s="478" t="s">
        <v>1270</v>
      </c>
      <c r="J77" s="478" t="s">
        <v>150</v>
      </c>
      <c r="K77" s="478" t="s">
        <v>265</v>
      </c>
      <c r="L77" s="477">
        <v>3</v>
      </c>
      <c r="M77" s="477">
        <v>11</v>
      </c>
      <c r="N77" s="478" t="s">
        <v>1187</v>
      </c>
      <c r="O77" s="478" t="s">
        <v>1188</v>
      </c>
      <c r="P77" s="478" t="s">
        <v>1205</v>
      </c>
      <c r="Q77" s="478" t="s">
        <v>1190</v>
      </c>
      <c r="R77" s="478" t="s">
        <v>1191</v>
      </c>
      <c r="S77" s="478" t="s">
        <v>1191</v>
      </c>
      <c r="T77" s="478" t="s">
        <v>1189</v>
      </c>
      <c r="U77" s="478" t="s">
        <v>1189</v>
      </c>
      <c r="V77" s="478" t="s">
        <v>1222</v>
      </c>
      <c r="W77" s="478" t="s">
        <v>1264</v>
      </c>
      <c r="X77" s="478" t="s">
        <v>1224</v>
      </c>
      <c r="Y77" s="478" t="s">
        <v>1265</v>
      </c>
      <c r="Z77" s="478" t="s">
        <v>1189</v>
      </c>
      <c r="AA77" s="478" t="s">
        <v>150</v>
      </c>
      <c r="AB77" s="477">
        <v>10067724</v>
      </c>
    </row>
    <row r="78" spans="1:28" x14ac:dyDescent="0.25">
      <c r="A78" s="24" t="str">
        <f t="shared" si="1"/>
        <v>Ridgeway Infant School</v>
      </c>
      <c r="B78" s="477">
        <v>112757</v>
      </c>
      <c r="C78" s="478" t="s">
        <v>1181</v>
      </c>
      <c r="D78" s="478" t="s">
        <v>1182</v>
      </c>
      <c r="E78" s="477">
        <v>2458</v>
      </c>
      <c r="F78" s="478" t="s">
        <v>75</v>
      </c>
      <c r="G78" s="478" t="s">
        <v>1204</v>
      </c>
      <c r="H78" s="478" t="s">
        <v>1185</v>
      </c>
      <c r="I78" s="478" t="s">
        <v>150</v>
      </c>
      <c r="J78" s="478" t="s">
        <v>150</v>
      </c>
      <c r="K78" s="478" t="s">
        <v>265</v>
      </c>
      <c r="L78" s="477">
        <v>4</v>
      </c>
      <c r="M78" s="477">
        <v>7</v>
      </c>
      <c r="N78" s="478" t="s">
        <v>1187</v>
      </c>
      <c r="O78" s="478" t="s">
        <v>1206</v>
      </c>
      <c r="P78" s="478" t="s">
        <v>1205</v>
      </c>
      <c r="Q78" s="478" t="s">
        <v>1190</v>
      </c>
      <c r="R78" s="478" t="s">
        <v>1191</v>
      </c>
      <c r="S78" s="478" t="s">
        <v>1191</v>
      </c>
      <c r="T78" s="478" t="s">
        <v>1189</v>
      </c>
      <c r="U78" s="478" t="s">
        <v>1189</v>
      </c>
      <c r="V78" s="478" t="s">
        <v>1189</v>
      </c>
      <c r="W78" s="478" t="s">
        <v>150</v>
      </c>
      <c r="X78" s="478" t="s">
        <v>1189</v>
      </c>
      <c r="Y78" s="478" t="s">
        <v>150</v>
      </c>
      <c r="Z78" s="478" t="s">
        <v>1192</v>
      </c>
      <c r="AA78" s="478" t="s">
        <v>150</v>
      </c>
      <c r="AB78" s="477">
        <v>10069685</v>
      </c>
    </row>
    <row r="79" spans="1:28" x14ac:dyDescent="0.25">
      <c r="A79" s="24" t="str">
        <f t="shared" si="1"/>
        <v>Roe Farm Primary School</v>
      </c>
      <c r="B79" s="477">
        <v>131401</v>
      </c>
      <c r="C79" s="478" t="s">
        <v>1181</v>
      </c>
      <c r="D79" s="478" t="s">
        <v>1182</v>
      </c>
      <c r="E79" s="477">
        <v>2001</v>
      </c>
      <c r="F79" s="478" t="s">
        <v>61</v>
      </c>
      <c r="G79" s="478" t="s">
        <v>1204</v>
      </c>
      <c r="H79" s="478" t="s">
        <v>1185</v>
      </c>
      <c r="I79" s="478" t="s">
        <v>1218</v>
      </c>
      <c r="J79" s="478" t="s">
        <v>150</v>
      </c>
      <c r="K79" s="478" t="s">
        <v>265</v>
      </c>
      <c r="L79" s="477">
        <v>3</v>
      </c>
      <c r="M79" s="477">
        <v>11</v>
      </c>
      <c r="N79" s="478" t="s">
        <v>1187</v>
      </c>
      <c r="O79" s="478" t="s">
        <v>1188</v>
      </c>
      <c r="P79" s="478" t="s">
        <v>1205</v>
      </c>
      <c r="Q79" s="478" t="s">
        <v>1190</v>
      </c>
      <c r="R79" s="478" t="s">
        <v>1191</v>
      </c>
      <c r="S79" s="478" t="s">
        <v>1191</v>
      </c>
      <c r="T79" s="478" t="s">
        <v>1189</v>
      </c>
      <c r="U79" s="478" t="s">
        <v>1189</v>
      </c>
      <c r="V79" s="478" t="s">
        <v>1189</v>
      </c>
      <c r="W79" s="478" t="s">
        <v>150</v>
      </c>
      <c r="X79" s="478" t="s">
        <v>1189</v>
      </c>
      <c r="Y79" s="478" t="s">
        <v>150</v>
      </c>
      <c r="Z79" s="478" t="s">
        <v>1192</v>
      </c>
      <c r="AA79" s="478" t="s">
        <v>150</v>
      </c>
      <c r="AB79" s="477">
        <v>10075252</v>
      </c>
    </row>
    <row r="80" spans="1:28" x14ac:dyDescent="0.25">
      <c r="A80" s="24" t="str">
        <f t="shared" si="1"/>
        <v>Rosehill Infant and Nursery School</v>
      </c>
      <c r="B80" s="477">
        <v>112733</v>
      </c>
      <c r="C80" s="478" t="s">
        <v>1181</v>
      </c>
      <c r="D80" s="478" t="s">
        <v>1182</v>
      </c>
      <c r="E80" s="477">
        <v>2429</v>
      </c>
      <c r="F80" s="478" t="s">
        <v>67</v>
      </c>
      <c r="G80" s="478" t="s">
        <v>1204</v>
      </c>
      <c r="H80" s="478" t="s">
        <v>1185</v>
      </c>
      <c r="I80" s="478" t="s">
        <v>150</v>
      </c>
      <c r="J80" s="478" t="s">
        <v>150</v>
      </c>
      <c r="K80" s="478" t="s">
        <v>265</v>
      </c>
      <c r="L80" s="477">
        <v>3</v>
      </c>
      <c r="M80" s="477">
        <v>7</v>
      </c>
      <c r="N80" s="478" t="s">
        <v>1187</v>
      </c>
      <c r="O80" s="478" t="s">
        <v>1188</v>
      </c>
      <c r="P80" s="478" t="s">
        <v>1205</v>
      </c>
      <c r="Q80" s="478" t="s">
        <v>1190</v>
      </c>
      <c r="R80" s="478" t="s">
        <v>1191</v>
      </c>
      <c r="S80" s="478" t="s">
        <v>1191</v>
      </c>
      <c r="T80" s="478" t="s">
        <v>1189</v>
      </c>
      <c r="U80" s="478" t="s">
        <v>1189</v>
      </c>
      <c r="V80" s="478" t="s">
        <v>1189</v>
      </c>
      <c r="W80" s="478" t="s">
        <v>150</v>
      </c>
      <c r="X80" s="478" t="s">
        <v>1189</v>
      </c>
      <c r="Y80" s="478" t="s">
        <v>150</v>
      </c>
      <c r="Z80" s="478" t="s">
        <v>1192</v>
      </c>
      <c r="AA80" s="478" t="s">
        <v>150</v>
      </c>
      <c r="AB80" s="477">
        <v>10076481</v>
      </c>
    </row>
    <row r="81" spans="1:28" x14ac:dyDescent="0.25">
      <c r="A81" s="24" t="str">
        <f t="shared" si="1"/>
        <v>Saint Benedict, A Catholic Voluntary Academy</v>
      </c>
      <c r="B81" s="477">
        <v>138622</v>
      </c>
      <c r="C81" s="478" t="s">
        <v>1181</v>
      </c>
      <c r="D81" s="478" t="s">
        <v>1182</v>
      </c>
      <c r="E81" s="477">
        <v>4607</v>
      </c>
      <c r="F81" s="478" t="s">
        <v>146</v>
      </c>
      <c r="G81" s="478" t="s">
        <v>1226</v>
      </c>
      <c r="H81" s="478" t="s">
        <v>1185</v>
      </c>
      <c r="I81" s="478" t="s">
        <v>1232</v>
      </c>
      <c r="J81" s="478" t="s">
        <v>150</v>
      </c>
      <c r="K81" s="478" t="s">
        <v>197</v>
      </c>
      <c r="L81" s="477">
        <v>11</v>
      </c>
      <c r="M81" s="477">
        <v>19</v>
      </c>
      <c r="N81" s="478" t="s">
        <v>1187</v>
      </c>
      <c r="O81" s="478" t="s">
        <v>1206</v>
      </c>
      <c r="P81" s="478" t="s">
        <v>1212</v>
      </c>
      <c r="Q81" s="478" t="s">
        <v>1190</v>
      </c>
      <c r="R81" s="478" t="s">
        <v>1235</v>
      </c>
      <c r="S81" s="478" t="s">
        <v>1191</v>
      </c>
      <c r="T81" s="478" t="s">
        <v>1236</v>
      </c>
      <c r="U81" s="478" t="s">
        <v>1214</v>
      </c>
      <c r="V81" s="478" t="s">
        <v>1222</v>
      </c>
      <c r="W81" s="478" t="s">
        <v>1237</v>
      </c>
      <c r="X81" s="478" t="s">
        <v>1224</v>
      </c>
      <c r="Y81" s="478" t="s">
        <v>1238</v>
      </c>
      <c r="Z81" s="478" t="s">
        <v>1189</v>
      </c>
      <c r="AA81" s="478" t="s">
        <v>150</v>
      </c>
      <c r="AB81" s="477">
        <v>10038595</v>
      </c>
    </row>
    <row r="82" spans="1:28" x14ac:dyDescent="0.25">
      <c r="A82" s="24" t="str">
        <f t="shared" si="1"/>
        <v>Shelton Infant School</v>
      </c>
      <c r="B82" s="477">
        <v>112745</v>
      </c>
      <c r="C82" s="478" t="s">
        <v>1181</v>
      </c>
      <c r="D82" s="478" t="s">
        <v>1182</v>
      </c>
      <c r="E82" s="477">
        <v>2444</v>
      </c>
      <c r="F82" s="478" t="s">
        <v>71</v>
      </c>
      <c r="G82" s="478" t="s">
        <v>1204</v>
      </c>
      <c r="H82" s="478" t="s">
        <v>1185</v>
      </c>
      <c r="I82" s="478" t="s">
        <v>150</v>
      </c>
      <c r="J82" s="478" t="s">
        <v>150</v>
      </c>
      <c r="K82" s="478" t="s">
        <v>265</v>
      </c>
      <c r="L82" s="477">
        <v>3</v>
      </c>
      <c r="M82" s="477">
        <v>7</v>
      </c>
      <c r="N82" s="478" t="s">
        <v>1187</v>
      </c>
      <c r="O82" s="478" t="s">
        <v>1188</v>
      </c>
      <c r="P82" s="478" t="s">
        <v>1205</v>
      </c>
      <c r="Q82" s="478" t="s">
        <v>1190</v>
      </c>
      <c r="R82" s="478" t="s">
        <v>1191</v>
      </c>
      <c r="S82" s="478" t="s">
        <v>1191</v>
      </c>
      <c r="T82" s="478" t="s">
        <v>1189</v>
      </c>
      <c r="U82" s="478" t="s">
        <v>1189</v>
      </c>
      <c r="V82" s="478" t="s">
        <v>1189</v>
      </c>
      <c r="W82" s="478" t="s">
        <v>150</v>
      </c>
      <c r="X82" s="478" t="s">
        <v>1189</v>
      </c>
      <c r="Y82" s="478" t="s">
        <v>150</v>
      </c>
      <c r="Z82" s="478" t="s">
        <v>1192</v>
      </c>
      <c r="AA82" s="478" t="s">
        <v>150</v>
      </c>
      <c r="AB82" s="477">
        <v>10076478</v>
      </c>
    </row>
    <row r="83" spans="1:28" x14ac:dyDescent="0.25">
      <c r="A83" s="24" t="str">
        <f t="shared" si="1"/>
        <v>Shelton Junior School</v>
      </c>
      <c r="B83" s="477">
        <v>112983</v>
      </c>
      <c r="C83" s="478" t="s">
        <v>1181</v>
      </c>
      <c r="D83" s="478" t="s">
        <v>1182</v>
      </c>
      <c r="E83" s="477">
        <v>5209</v>
      </c>
      <c r="F83" s="478" t="s">
        <v>83</v>
      </c>
      <c r="G83" s="478" t="s">
        <v>1211</v>
      </c>
      <c r="H83" s="478" t="s">
        <v>1185</v>
      </c>
      <c r="I83" s="478" t="s">
        <v>150</v>
      </c>
      <c r="J83" s="478" t="s">
        <v>150</v>
      </c>
      <c r="K83" s="478" t="s">
        <v>265</v>
      </c>
      <c r="L83" s="477">
        <v>7</v>
      </c>
      <c r="M83" s="477">
        <v>11</v>
      </c>
      <c r="N83" s="478" t="s">
        <v>1187</v>
      </c>
      <c r="O83" s="478" t="s">
        <v>1206</v>
      </c>
      <c r="P83" s="478" t="s">
        <v>1205</v>
      </c>
      <c r="Q83" s="478" t="s">
        <v>1190</v>
      </c>
      <c r="R83" s="478" t="s">
        <v>1213</v>
      </c>
      <c r="S83" s="478" t="s">
        <v>1191</v>
      </c>
      <c r="T83" s="478" t="s">
        <v>1189</v>
      </c>
      <c r="U83" s="478" t="s">
        <v>1189</v>
      </c>
      <c r="V83" s="478" t="s">
        <v>1217</v>
      </c>
      <c r="W83" s="478" t="s">
        <v>150</v>
      </c>
      <c r="X83" s="478" t="s">
        <v>1189</v>
      </c>
      <c r="Y83" s="478" t="s">
        <v>150</v>
      </c>
      <c r="Z83" s="478" t="s">
        <v>1192</v>
      </c>
      <c r="AA83" s="478" t="s">
        <v>150</v>
      </c>
      <c r="AB83" s="477">
        <v>10073685</v>
      </c>
    </row>
    <row r="84" spans="1:28" x14ac:dyDescent="0.25">
      <c r="A84" s="24" t="str">
        <f t="shared" si="1"/>
        <v>Silverhill Primary School</v>
      </c>
      <c r="B84" s="477">
        <v>112765</v>
      </c>
      <c r="C84" s="478" t="s">
        <v>1181</v>
      </c>
      <c r="D84" s="478" t="s">
        <v>1182</v>
      </c>
      <c r="E84" s="477">
        <v>2469</v>
      </c>
      <c r="F84" s="478" t="s">
        <v>78</v>
      </c>
      <c r="G84" s="478" t="s">
        <v>1204</v>
      </c>
      <c r="H84" s="478" t="s">
        <v>1185</v>
      </c>
      <c r="I84" s="478" t="s">
        <v>150</v>
      </c>
      <c r="J84" s="478" t="s">
        <v>150</v>
      </c>
      <c r="K84" s="478" t="s">
        <v>265</v>
      </c>
      <c r="L84" s="477">
        <v>4</v>
      </c>
      <c r="M84" s="477">
        <v>11</v>
      </c>
      <c r="N84" s="478" t="s">
        <v>1187</v>
      </c>
      <c r="O84" s="478" t="s">
        <v>1206</v>
      </c>
      <c r="P84" s="478" t="s">
        <v>1205</v>
      </c>
      <c r="Q84" s="478" t="s">
        <v>1190</v>
      </c>
      <c r="R84" s="478" t="s">
        <v>1191</v>
      </c>
      <c r="S84" s="478" t="s">
        <v>1191</v>
      </c>
      <c r="T84" s="478" t="s">
        <v>1189</v>
      </c>
      <c r="U84" s="478" t="s">
        <v>1189</v>
      </c>
      <c r="V84" s="478" t="s">
        <v>1189</v>
      </c>
      <c r="W84" s="478" t="s">
        <v>150</v>
      </c>
      <c r="X84" s="478" t="s">
        <v>1189</v>
      </c>
      <c r="Y84" s="478" t="s">
        <v>150</v>
      </c>
      <c r="Z84" s="478" t="s">
        <v>1192</v>
      </c>
      <c r="AA84" s="478" t="s">
        <v>150</v>
      </c>
      <c r="AB84" s="477">
        <v>10076127</v>
      </c>
    </row>
    <row r="85" spans="1:28" x14ac:dyDescent="0.25">
      <c r="A85" s="24" t="str">
        <f t="shared" si="1"/>
        <v>Springfield Primary School</v>
      </c>
      <c r="B85" s="477">
        <v>146839</v>
      </c>
      <c r="C85" s="478" t="s">
        <v>1181</v>
      </c>
      <c r="D85" s="478" t="s">
        <v>1182</v>
      </c>
      <c r="E85" s="477">
        <v>2466</v>
      </c>
      <c r="F85" s="478" t="s">
        <v>117</v>
      </c>
      <c r="G85" s="478" t="s">
        <v>1226</v>
      </c>
      <c r="H85" s="478" t="s">
        <v>1185</v>
      </c>
      <c r="I85" s="478" t="s">
        <v>1280</v>
      </c>
      <c r="J85" s="478" t="s">
        <v>150</v>
      </c>
      <c r="K85" s="478" t="s">
        <v>265</v>
      </c>
      <c r="L85" s="477">
        <v>4</v>
      </c>
      <c r="M85" s="477">
        <v>11</v>
      </c>
      <c r="N85" s="478" t="s">
        <v>1187</v>
      </c>
      <c r="O85" s="478" t="s">
        <v>1206</v>
      </c>
      <c r="P85" s="478" t="s">
        <v>1205</v>
      </c>
      <c r="Q85" s="478" t="s">
        <v>1190</v>
      </c>
      <c r="R85" s="478" t="s">
        <v>1191</v>
      </c>
      <c r="S85" s="478" t="s">
        <v>1191</v>
      </c>
      <c r="T85" s="478" t="s">
        <v>1189</v>
      </c>
      <c r="U85" s="478" t="s">
        <v>1189</v>
      </c>
      <c r="V85" s="478" t="s">
        <v>1222</v>
      </c>
      <c r="W85" s="478" t="s">
        <v>1281</v>
      </c>
      <c r="X85" s="478" t="s">
        <v>1230</v>
      </c>
      <c r="Y85" s="478" t="s">
        <v>150</v>
      </c>
      <c r="Z85" s="478" t="s">
        <v>1189</v>
      </c>
      <c r="AA85" s="478" t="s">
        <v>150</v>
      </c>
      <c r="AB85" s="477">
        <v>10082667</v>
      </c>
    </row>
    <row r="86" spans="1:28" x14ac:dyDescent="0.25">
      <c r="A86" s="24" t="str">
        <f t="shared" si="1"/>
        <v>St Alban's Catholic Voluntary Academy</v>
      </c>
      <c r="B86" s="477">
        <v>146253</v>
      </c>
      <c r="C86" s="478" t="s">
        <v>1181</v>
      </c>
      <c r="D86" s="478" t="s">
        <v>1182</v>
      </c>
      <c r="E86" s="477">
        <v>3543</v>
      </c>
      <c r="F86" s="478" t="s">
        <v>131</v>
      </c>
      <c r="G86" s="478" t="s">
        <v>1226</v>
      </c>
      <c r="H86" s="478" t="s">
        <v>1185</v>
      </c>
      <c r="I86" s="478" t="s">
        <v>1270</v>
      </c>
      <c r="J86" s="478" t="s">
        <v>150</v>
      </c>
      <c r="K86" s="478" t="s">
        <v>265</v>
      </c>
      <c r="L86" s="477">
        <v>3</v>
      </c>
      <c r="M86" s="477">
        <v>11</v>
      </c>
      <c r="N86" s="478" t="s">
        <v>1187</v>
      </c>
      <c r="O86" s="478" t="s">
        <v>1188</v>
      </c>
      <c r="P86" s="478" t="s">
        <v>1205</v>
      </c>
      <c r="Q86" s="478" t="s">
        <v>1190</v>
      </c>
      <c r="R86" s="478" t="s">
        <v>1235</v>
      </c>
      <c r="S86" s="478" t="s">
        <v>1191</v>
      </c>
      <c r="T86" s="478" t="s">
        <v>1236</v>
      </c>
      <c r="U86" s="478" t="s">
        <v>1189</v>
      </c>
      <c r="V86" s="478" t="s">
        <v>1222</v>
      </c>
      <c r="W86" s="478" t="s">
        <v>1237</v>
      </c>
      <c r="X86" s="478" t="s">
        <v>1224</v>
      </c>
      <c r="Y86" s="478" t="s">
        <v>1238</v>
      </c>
      <c r="Z86" s="478" t="s">
        <v>1189</v>
      </c>
      <c r="AA86" s="478" t="s">
        <v>150</v>
      </c>
      <c r="AB86" s="477">
        <v>10080865</v>
      </c>
    </row>
    <row r="87" spans="1:28" x14ac:dyDescent="0.25">
      <c r="A87" s="24" t="str">
        <f t="shared" si="1"/>
        <v>St George's Catholic Voluntary Academy</v>
      </c>
      <c r="B87" s="477">
        <v>138666</v>
      </c>
      <c r="C87" s="478" t="s">
        <v>1181</v>
      </c>
      <c r="D87" s="478" t="s">
        <v>1182</v>
      </c>
      <c r="E87" s="477">
        <v>3531</v>
      </c>
      <c r="F87" s="478" t="s">
        <v>127</v>
      </c>
      <c r="G87" s="478" t="s">
        <v>1226</v>
      </c>
      <c r="H87" s="478" t="s">
        <v>1185</v>
      </c>
      <c r="I87" s="478" t="s">
        <v>1232</v>
      </c>
      <c r="J87" s="478" t="s">
        <v>150</v>
      </c>
      <c r="K87" s="478" t="s">
        <v>265</v>
      </c>
      <c r="L87" s="477">
        <v>5</v>
      </c>
      <c r="M87" s="477">
        <v>11</v>
      </c>
      <c r="N87" s="478" t="s">
        <v>1187</v>
      </c>
      <c r="O87" s="478" t="s">
        <v>1206</v>
      </c>
      <c r="P87" s="478" t="s">
        <v>1205</v>
      </c>
      <c r="Q87" s="478" t="s">
        <v>1190</v>
      </c>
      <c r="R87" s="478" t="s">
        <v>1235</v>
      </c>
      <c r="S87" s="478" t="s">
        <v>1191</v>
      </c>
      <c r="T87" s="478" t="s">
        <v>1236</v>
      </c>
      <c r="U87" s="478" t="s">
        <v>1189</v>
      </c>
      <c r="V87" s="478" t="s">
        <v>1222</v>
      </c>
      <c r="W87" s="478" t="s">
        <v>1237</v>
      </c>
      <c r="X87" s="478" t="s">
        <v>1224</v>
      </c>
      <c r="Y87" s="478" t="s">
        <v>1238</v>
      </c>
      <c r="Z87" s="478" t="s">
        <v>1189</v>
      </c>
      <c r="AA87" s="478" t="s">
        <v>150</v>
      </c>
      <c r="AB87" s="477">
        <v>10038168</v>
      </c>
    </row>
    <row r="88" spans="1:28" x14ac:dyDescent="0.25">
      <c r="A88" s="24" t="str">
        <f t="shared" si="1"/>
        <v>St James' Church of England Aided Infant School</v>
      </c>
      <c r="B88" s="477">
        <v>112915</v>
      </c>
      <c r="C88" s="478" t="s">
        <v>1181</v>
      </c>
      <c r="D88" s="478" t="s">
        <v>1182</v>
      </c>
      <c r="E88" s="477">
        <v>3526</v>
      </c>
      <c r="F88" s="478" t="s">
        <v>82</v>
      </c>
      <c r="G88" s="478" t="s">
        <v>1208</v>
      </c>
      <c r="H88" s="478" t="s">
        <v>1185</v>
      </c>
      <c r="I88" s="478" t="s">
        <v>150</v>
      </c>
      <c r="J88" s="478" t="s">
        <v>150</v>
      </c>
      <c r="K88" s="478" t="s">
        <v>265</v>
      </c>
      <c r="L88" s="477">
        <v>2</v>
      </c>
      <c r="M88" s="477">
        <v>7</v>
      </c>
      <c r="N88" s="478" t="s">
        <v>1187</v>
      </c>
      <c r="O88" s="478" t="s">
        <v>1188</v>
      </c>
      <c r="P88" s="478" t="s">
        <v>1205</v>
      </c>
      <c r="Q88" s="478" t="s">
        <v>1190</v>
      </c>
      <c r="R88" s="478" t="s">
        <v>1209</v>
      </c>
      <c r="S88" s="478" t="s">
        <v>1191</v>
      </c>
      <c r="T88" s="478" t="s">
        <v>1210</v>
      </c>
      <c r="U88" s="478" t="s">
        <v>1189</v>
      </c>
      <c r="V88" s="478" t="s">
        <v>1189</v>
      </c>
      <c r="W88" s="478" t="s">
        <v>150</v>
      </c>
      <c r="X88" s="478" t="s">
        <v>1189</v>
      </c>
      <c r="Y88" s="478" t="s">
        <v>150</v>
      </c>
      <c r="Z88" s="478" t="s">
        <v>1192</v>
      </c>
      <c r="AA88" s="478" t="s">
        <v>150</v>
      </c>
      <c r="AB88" s="477">
        <v>10080361</v>
      </c>
    </row>
    <row r="89" spans="1:28" x14ac:dyDescent="0.25">
      <c r="A89" s="24" t="str">
        <f t="shared" si="1"/>
        <v>St James' Church of England Aided Junior School</v>
      </c>
      <c r="B89" s="477">
        <v>148368</v>
      </c>
      <c r="C89" s="478" t="s">
        <v>1181</v>
      </c>
      <c r="D89" s="478" t="s">
        <v>1182</v>
      </c>
      <c r="E89" s="477">
        <v>3535</v>
      </c>
      <c r="F89" s="478" t="s">
        <v>129</v>
      </c>
      <c r="G89" s="478" t="s">
        <v>1226</v>
      </c>
      <c r="H89" s="478" t="s">
        <v>1185</v>
      </c>
      <c r="I89" s="478" t="s">
        <v>1290</v>
      </c>
      <c r="J89" s="478" t="s">
        <v>150</v>
      </c>
      <c r="K89" s="478" t="s">
        <v>265</v>
      </c>
      <c r="L89" s="477">
        <v>7</v>
      </c>
      <c r="M89" s="477">
        <v>11</v>
      </c>
      <c r="N89" s="478" t="s">
        <v>1187</v>
      </c>
      <c r="O89" s="478" t="s">
        <v>1206</v>
      </c>
      <c r="P89" s="478" t="s">
        <v>1205</v>
      </c>
      <c r="Q89" s="478" t="s">
        <v>1190</v>
      </c>
      <c r="R89" s="478" t="s">
        <v>1209</v>
      </c>
      <c r="S89" s="478" t="s">
        <v>1191</v>
      </c>
      <c r="T89" s="478" t="s">
        <v>1210</v>
      </c>
      <c r="U89" s="478" t="s">
        <v>1189</v>
      </c>
      <c r="V89" s="478" t="s">
        <v>1222</v>
      </c>
      <c r="W89" s="478" t="s">
        <v>1247</v>
      </c>
      <c r="X89" s="478" t="s">
        <v>1224</v>
      </c>
      <c r="Y89" s="478" t="s">
        <v>1248</v>
      </c>
      <c r="Z89" s="478" t="s">
        <v>1189</v>
      </c>
      <c r="AA89" s="478" t="s">
        <v>150</v>
      </c>
      <c r="AB89" s="477">
        <v>10087571</v>
      </c>
    </row>
    <row r="90" spans="1:28" x14ac:dyDescent="0.25">
      <c r="A90" s="24" t="str">
        <f t="shared" si="1"/>
        <v>St John Fisher Catholic Voluntary Academy</v>
      </c>
      <c r="B90" s="477">
        <v>138514</v>
      </c>
      <c r="C90" s="478" t="s">
        <v>1181</v>
      </c>
      <c r="D90" s="478" t="s">
        <v>1182</v>
      </c>
      <c r="E90" s="477">
        <v>2008</v>
      </c>
      <c r="F90" s="478" t="s">
        <v>91</v>
      </c>
      <c r="G90" s="478" t="s">
        <v>1220</v>
      </c>
      <c r="H90" s="478" t="s">
        <v>1185</v>
      </c>
      <c r="I90" s="478" t="s">
        <v>1232</v>
      </c>
      <c r="J90" s="478" t="s">
        <v>150</v>
      </c>
      <c r="K90" s="478" t="s">
        <v>265</v>
      </c>
      <c r="L90" s="477">
        <v>4</v>
      </c>
      <c r="M90" s="477">
        <v>11</v>
      </c>
      <c r="N90" s="478" t="s">
        <v>1187</v>
      </c>
      <c r="O90" s="478" t="s">
        <v>1189</v>
      </c>
      <c r="P90" s="478" t="s">
        <v>1189</v>
      </c>
      <c r="Q90" s="478" t="s">
        <v>1190</v>
      </c>
      <c r="R90" s="478" t="s">
        <v>1235</v>
      </c>
      <c r="S90" s="478" t="s">
        <v>1213</v>
      </c>
      <c r="T90" s="478" t="s">
        <v>1236</v>
      </c>
      <c r="U90" s="478" t="s">
        <v>1189</v>
      </c>
      <c r="V90" s="478" t="s">
        <v>1222</v>
      </c>
      <c r="W90" s="478" t="s">
        <v>1237</v>
      </c>
      <c r="X90" s="478" t="s">
        <v>1224</v>
      </c>
      <c r="Y90" s="478" t="s">
        <v>1238</v>
      </c>
      <c r="Z90" s="478" t="s">
        <v>1189</v>
      </c>
      <c r="AA90" s="478" t="s">
        <v>150</v>
      </c>
      <c r="AB90" s="477">
        <v>10038458</v>
      </c>
    </row>
    <row r="91" spans="1:28" x14ac:dyDescent="0.25">
      <c r="A91" s="24" t="str">
        <f t="shared" si="1"/>
        <v>St Joseph's Catholic Voluntary Academy</v>
      </c>
      <c r="B91" s="477">
        <v>146104</v>
      </c>
      <c r="C91" s="478" t="s">
        <v>1181</v>
      </c>
      <c r="D91" s="478" t="s">
        <v>1182</v>
      </c>
      <c r="E91" s="477">
        <v>3542</v>
      </c>
      <c r="F91" s="478" t="s">
        <v>130</v>
      </c>
      <c r="G91" s="478" t="s">
        <v>1226</v>
      </c>
      <c r="H91" s="478" t="s">
        <v>1185</v>
      </c>
      <c r="I91" s="478" t="s">
        <v>1270</v>
      </c>
      <c r="J91" s="478" t="s">
        <v>150</v>
      </c>
      <c r="K91" s="478" t="s">
        <v>265</v>
      </c>
      <c r="L91" s="477">
        <v>4</v>
      </c>
      <c r="M91" s="477">
        <v>11</v>
      </c>
      <c r="N91" s="478" t="s">
        <v>1187</v>
      </c>
      <c r="O91" s="478" t="s">
        <v>1206</v>
      </c>
      <c r="P91" s="478" t="s">
        <v>1205</v>
      </c>
      <c r="Q91" s="478" t="s">
        <v>1190</v>
      </c>
      <c r="R91" s="478" t="s">
        <v>1235</v>
      </c>
      <c r="S91" s="478" t="s">
        <v>1191</v>
      </c>
      <c r="T91" s="478" t="s">
        <v>1236</v>
      </c>
      <c r="U91" s="478" t="s">
        <v>1189</v>
      </c>
      <c r="V91" s="478" t="s">
        <v>1222</v>
      </c>
      <c r="W91" s="478" t="s">
        <v>1237</v>
      </c>
      <c r="X91" s="478" t="s">
        <v>1224</v>
      </c>
      <c r="Y91" s="478" t="s">
        <v>1238</v>
      </c>
      <c r="Z91" s="478" t="s">
        <v>1189</v>
      </c>
      <c r="AA91" s="478" t="s">
        <v>150</v>
      </c>
      <c r="AB91" s="477">
        <v>10068517</v>
      </c>
    </row>
    <row r="92" spans="1:28" x14ac:dyDescent="0.25">
      <c r="A92" s="24" t="str">
        <f t="shared" si="1"/>
        <v>St Mary's Catholic Voluntary Academy</v>
      </c>
      <c r="B92" s="477">
        <v>146140</v>
      </c>
      <c r="C92" s="478" t="s">
        <v>1181</v>
      </c>
      <c r="D92" s="478" t="s">
        <v>1182</v>
      </c>
      <c r="E92" s="477">
        <v>3528</v>
      </c>
      <c r="F92" s="478" t="s">
        <v>125</v>
      </c>
      <c r="G92" s="478" t="s">
        <v>1226</v>
      </c>
      <c r="H92" s="478" t="s">
        <v>1185</v>
      </c>
      <c r="I92" s="478" t="s">
        <v>1270</v>
      </c>
      <c r="J92" s="478" t="s">
        <v>150</v>
      </c>
      <c r="K92" s="478" t="s">
        <v>265</v>
      </c>
      <c r="L92" s="477">
        <v>3</v>
      </c>
      <c r="M92" s="477">
        <v>11</v>
      </c>
      <c r="N92" s="478" t="s">
        <v>1187</v>
      </c>
      <c r="O92" s="478" t="s">
        <v>1188</v>
      </c>
      <c r="P92" s="478" t="s">
        <v>1205</v>
      </c>
      <c r="Q92" s="478" t="s">
        <v>1190</v>
      </c>
      <c r="R92" s="478" t="s">
        <v>1235</v>
      </c>
      <c r="S92" s="478" t="s">
        <v>1191</v>
      </c>
      <c r="T92" s="478" t="s">
        <v>1236</v>
      </c>
      <c r="U92" s="478" t="s">
        <v>1189</v>
      </c>
      <c r="V92" s="478" t="s">
        <v>1222</v>
      </c>
      <c r="W92" s="478" t="s">
        <v>1237</v>
      </c>
      <c r="X92" s="478" t="s">
        <v>1224</v>
      </c>
      <c r="Y92" s="478" t="s">
        <v>1238</v>
      </c>
      <c r="Z92" s="478" t="s">
        <v>1189</v>
      </c>
      <c r="AA92" s="478" t="s">
        <v>150</v>
      </c>
      <c r="AB92" s="477">
        <v>10080864</v>
      </c>
    </row>
    <row r="93" spans="1:28" x14ac:dyDescent="0.25">
      <c r="A93" s="24" t="str">
        <f t="shared" si="1"/>
        <v>St Peter's Church of England Aided Junior School</v>
      </c>
      <c r="B93" s="477">
        <v>147725</v>
      </c>
      <c r="C93" s="478" t="s">
        <v>1181</v>
      </c>
      <c r="D93" s="478" t="s">
        <v>1182</v>
      </c>
      <c r="E93" s="477">
        <v>2025</v>
      </c>
      <c r="F93" s="478" t="s">
        <v>107</v>
      </c>
      <c r="G93" s="478" t="s">
        <v>1220</v>
      </c>
      <c r="H93" s="478" t="s">
        <v>1185</v>
      </c>
      <c r="I93" s="478" t="s">
        <v>1289</v>
      </c>
      <c r="J93" s="478" t="s">
        <v>150</v>
      </c>
      <c r="K93" s="478" t="s">
        <v>265</v>
      </c>
      <c r="L93" s="477">
        <v>7</v>
      </c>
      <c r="M93" s="477">
        <v>11</v>
      </c>
      <c r="N93" s="478" t="s">
        <v>1187</v>
      </c>
      <c r="O93" s="478" t="s">
        <v>1206</v>
      </c>
      <c r="P93" s="478" t="s">
        <v>1205</v>
      </c>
      <c r="Q93" s="478" t="s">
        <v>1190</v>
      </c>
      <c r="R93" s="478" t="s">
        <v>1209</v>
      </c>
      <c r="S93" s="478" t="s">
        <v>1209</v>
      </c>
      <c r="T93" s="478" t="s">
        <v>1210</v>
      </c>
      <c r="U93" s="478" t="s">
        <v>1189</v>
      </c>
      <c r="V93" s="478" t="s">
        <v>1222</v>
      </c>
      <c r="W93" s="478" t="s">
        <v>1247</v>
      </c>
      <c r="X93" s="478" t="s">
        <v>1224</v>
      </c>
      <c r="Y93" s="478" t="s">
        <v>1248</v>
      </c>
      <c r="Z93" s="478" t="s">
        <v>1189</v>
      </c>
      <c r="AA93" s="478" t="s">
        <v>150</v>
      </c>
      <c r="AB93" s="477">
        <v>10085580</v>
      </c>
    </row>
    <row r="94" spans="1:28" x14ac:dyDescent="0.25">
      <c r="A94" s="24" t="str">
        <f t="shared" si="1"/>
        <v>St Werburgh's CofE Primary School</v>
      </c>
      <c r="B94" s="477">
        <v>147490</v>
      </c>
      <c r="C94" s="478" t="s">
        <v>1181</v>
      </c>
      <c r="D94" s="478" t="s">
        <v>1182</v>
      </c>
      <c r="E94" s="477">
        <v>3532</v>
      </c>
      <c r="F94" s="478" t="s">
        <v>128</v>
      </c>
      <c r="G94" s="478" t="s">
        <v>1226</v>
      </c>
      <c r="H94" s="478" t="s">
        <v>1185</v>
      </c>
      <c r="I94" s="478" t="s">
        <v>1287</v>
      </c>
      <c r="J94" s="478" t="s">
        <v>150</v>
      </c>
      <c r="K94" s="478" t="s">
        <v>265</v>
      </c>
      <c r="L94" s="477">
        <v>4</v>
      </c>
      <c r="M94" s="477">
        <v>11</v>
      </c>
      <c r="N94" s="478" t="s">
        <v>1187</v>
      </c>
      <c r="O94" s="478" t="s">
        <v>1206</v>
      </c>
      <c r="P94" s="478" t="s">
        <v>1205</v>
      </c>
      <c r="Q94" s="478" t="s">
        <v>1190</v>
      </c>
      <c r="R94" s="478" t="s">
        <v>1209</v>
      </c>
      <c r="S94" s="478" t="s">
        <v>1191</v>
      </c>
      <c r="T94" s="478" t="s">
        <v>1210</v>
      </c>
      <c r="U94" s="478" t="s">
        <v>1189</v>
      </c>
      <c r="V94" s="478" t="s">
        <v>1222</v>
      </c>
      <c r="W94" s="478" t="s">
        <v>1247</v>
      </c>
      <c r="X94" s="478" t="s">
        <v>1224</v>
      </c>
      <c r="Y94" s="478" t="s">
        <v>1248</v>
      </c>
      <c r="Z94" s="478" t="s">
        <v>1189</v>
      </c>
      <c r="AA94" s="478" t="s">
        <v>150</v>
      </c>
      <c r="AB94" s="477">
        <v>10084476</v>
      </c>
    </row>
    <row r="95" spans="1:28" x14ac:dyDescent="0.25">
      <c r="A95" s="24" t="str">
        <f t="shared" si="1"/>
        <v>Stonehill Nursery School</v>
      </c>
      <c r="B95" s="477">
        <v>112476</v>
      </c>
      <c r="C95" s="478" t="s">
        <v>1181</v>
      </c>
      <c r="D95" s="478" t="s">
        <v>1182</v>
      </c>
      <c r="E95" s="477">
        <v>1010</v>
      </c>
      <c r="F95" s="478" t="s">
        <v>1201</v>
      </c>
      <c r="G95" s="478" t="s">
        <v>1184</v>
      </c>
      <c r="H95" s="478" t="s">
        <v>1185</v>
      </c>
      <c r="I95" s="478" t="s">
        <v>150</v>
      </c>
      <c r="J95" s="478" t="s">
        <v>150</v>
      </c>
      <c r="K95" s="478" t="s">
        <v>1186</v>
      </c>
      <c r="L95" s="477">
        <v>2</v>
      </c>
      <c r="M95" s="477">
        <v>5</v>
      </c>
      <c r="N95" s="478" t="s">
        <v>1187</v>
      </c>
      <c r="O95" s="478" t="s">
        <v>1188</v>
      </c>
      <c r="P95" s="478" t="s">
        <v>1189</v>
      </c>
      <c r="Q95" s="478" t="s">
        <v>1190</v>
      </c>
      <c r="R95" s="478" t="s">
        <v>1191</v>
      </c>
      <c r="S95" s="478" t="s">
        <v>1191</v>
      </c>
      <c r="T95" s="478" t="s">
        <v>1189</v>
      </c>
      <c r="U95" s="478" t="s">
        <v>1189</v>
      </c>
      <c r="V95" s="478" t="s">
        <v>1189</v>
      </c>
      <c r="W95" s="478" t="s">
        <v>150</v>
      </c>
      <c r="X95" s="478" t="s">
        <v>1189</v>
      </c>
      <c r="Y95" s="478" t="s">
        <v>150</v>
      </c>
      <c r="Z95" s="478" t="s">
        <v>1192</v>
      </c>
      <c r="AA95" s="478" t="s">
        <v>150</v>
      </c>
      <c r="AB95" s="478" t="s">
        <v>150</v>
      </c>
    </row>
    <row r="96" spans="1:28" x14ac:dyDescent="0.25">
      <c r="A96" s="24" t="str">
        <f t="shared" si="1"/>
        <v>The Bemrose School</v>
      </c>
      <c r="B96" s="477">
        <v>112951</v>
      </c>
      <c r="C96" s="478" t="s">
        <v>1181</v>
      </c>
      <c r="D96" s="478" t="s">
        <v>1182</v>
      </c>
      <c r="E96" s="477">
        <v>4177</v>
      </c>
      <c r="F96" s="478" t="s">
        <v>86</v>
      </c>
      <c r="G96" s="478" t="s">
        <v>1211</v>
      </c>
      <c r="H96" s="478" t="s">
        <v>1185</v>
      </c>
      <c r="I96" s="478" t="s">
        <v>150</v>
      </c>
      <c r="J96" s="478" t="s">
        <v>150</v>
      </c>
      <c r="K96" s="478" t="s">
        <v>766</v>
      </c>
      <c r="L96" s="477">
        <v>3</v>
      </c>
      <c r="M96" s="477">
        <v>19</v>
      </c>
      <c r="N96" s="478" t="s">
        <v>1187</v>
      </c>
      <c r="O96" s="478" t="s">
        <v>1188</v>
      </c>
      <c r="P96" s="478" t="s">
        <v>1212</v>
      </c>
      <c r="Q96" s="478" t="s">
        <v>1190</v>
      </c>
      <c r="R96" s="478" t="s">
        <v>1213</v>
      </c>
      <c r="S96" s="478" t="s">
        <v>1191</v>
      </c>
      <c r="T96" s="478" t="s">
        <v>1189</v>
      </c>
      <c r="U96" s="478" t="s">
        <v>1214</v>
      </c>
      <c r="V96" s="478" t="s">
        <v>1215</v>
      </c>
      <c r="W96" s="478" t="s">
        <v>1216</v>
      </c>
      <c r="X96" s="478" t="s">
        <v>1189</v>
      </c>
      <c r="Y96" s="478" t="s">
        <v>150</v>
      </c>
      <c r="Z96" s="478" t="s">
        <v>1192</v>
      </c>
      <c r="AA96" s="478" t="s">
        <v>150</v>
      </c>
      <c r="AB96" s="477">
        <v>10015007</v>
      </c>
    </row>
    <row r="97" spans="1:28" x14ac:dyDescent="0.25">
      <c r="A97" s="24" t="str">
        <f t="shared" si="1"/>
        <v>UTC Derby Pride Park</v>
      </c>
      <c r="B97" s="477">
        <v>147685</v>
      </c>
      <c r="C97" s="478" t="s">
        <v>1181</v>
      </c>
      <c r="D97" s="478" t="s">
        <v>1182</v>
      </c>
      <c r="E97" s="477">
        <v>4010</v>
      </c>
      <c r="F97" s="478" t="s">
        <v>142</v>
      </c>
      <c r="G97" s="478"/>
      <c r="H97" s="478"/>
      <c r="I97" s="478"/>
      <c r="J97" s="478"/>
      <c r="K97" s="478"/>
      <c r="L97" s="477"/>
      <c r="M97" s="477"/>
      <c r="N97" s="478"/>
      <c r="O97" s="478"/>
      <c r="P97" s="478"/>
      <c r="Q97" s="478"/>
      <c r="R97" s="478"/>
      <c r="S97" s="478"/>
      <c r="T97" s="478"/>
      <c r="U97" s="478"/>
      <c r="V97" s="478"/>
      <c r="W97" s="478"/>
      <c r="X97" s="478"/>
      <c r="Y97" s="478"/>
      <c r="Z97" s="478"/>
      <c r="AA97" s="478"/>
      <c r="AB97" s="477"/>
    </row>
    <row r="98" spans="1:28" x14ac:dyDescent="0.25">
      <c r="A98" s="24" t="str">
        <f t="shared" si="1"/>
        <v>Village Primary Academy</v>
      </c>
      <c r="B98" s="477">
        <v>145760</v>
      </c>
      <c r="C98" s="478" t="s">
        <v>1181</v>
      </c>
      <c r="D98" s="478" t="s">
        <v>1182</v>
      </c>
      <c r="E98" s="477">
        <v>3546</v>
      </c>
      <c r="F98" s="478" t="s">
        <v>133</v>
      </c>
      <c r="G98" s="478" t="s">
        <v>1226</v>
      </c>
      <c r="H98" s="478" t="s">
        <v>1185</v>
      </c>
      <c r="I98" s="478" t="s">
        <v>1271</v>
      </c>
      <c r="J98" s="478" t="s">
        <v>150</v>
      </c>
      <c r="K98" s="478" t="s">
        <v>265</v>
      </c>
      <c r="L98" s="477">
        <v>2</v>
      </c>
      <c r="M98" s="477">
        <v>11</v>
      </c>
      <c r="N98" s="478" t="s">
        <v>1187</v>
      </c>
      <c r="O98" s="478" t="s">
        <v>1188</v>
      </c>
      <c r="P98" s="478" t="s">
        <v>1205</v>
      </c>
      <c r="Q98" s="478" t="s">
        <v>1190</v>
      </c>
      <c r="R98" s="478" t="s">
        <v>1191</v>
      </c>
      <c r="S98" s="478" t="s">
        <v>1191</v>
      </c>
      <c r="T98" s="478" t="s">
        <v>1189</v>
      </c>
      <c r="U98" s="478" t="s">
        <v>1189</v>
      </c>
      <c r="V98" s="478" t="s">
        <v>1222</v>
      </c>
      <c r="W98" s="478" t="s">
        <v>1264</v>
      </c>
      <c r="X98" s="478" t="s">
        <v>1224</v>
      </c>
      <c r="Y98" s="478" t="s">
        <v>1265</v>
      </c>
      <c r="Z98" s="478" t="s">
        <v>1189</v>
      </c>
      <c r="AA98" s="478" t="s">
        <v>150</v>
      </c>
      <c r="AB98" s="477">
        <v>10067562</v>
      </c>
    </row>
    <row r="99" spans="1:28" x14ac:dyDescent="0.25">
      <c r="A99" s="24" t="str">
        <f t="shared" si="1"/>
        <v>Walbrook Nursery School</v>
      </c>
      <c r="B99" s="477">
        <v>112475</v>
      </c>
      <c r="C99" s="478" t="s">
        <v>1181</v>
      </c>
      <c r="D99" s="478" t="s">
        <v>1182</v>
      </c>
      <c r="E99" s="477">
        <v>1009</v>
      </c>
      <c r="F99" s="478" t="s">
        <v>1197</v>
      </c>
      <c r="G99" s="478" t="s">
        <v>1184</v>
      </c>
      <c r="H99" s="478" t="s">
        <v>1198</v>
      </c>
      <c r="I99" s="478" t="s">
        <v>150</v>
      </c>
      <c r="J99" s="478" t="s">
        <v>1199</v>
      </c>
      <c r="K99" s="478" t="s">
        <v>1186</v>
      </c>
      <c r="L99" s="477">
        <v>2</v>
      </c>
      <c r="M99" s="477">
        <v>5</v>
      </c>
      <c r="N99" s="478" t="s">
        <v>1187</v>
      </c>
      <c r="O99" s="478" t="s">
        <v>1188</v>
      </c>
      <c r="P99" s="478" t="s">
        <v>1189</v>
      </c>
      <c r="Q99" s="478" t="s">
        <v>1190</v>
      </c>
      <c r="R99" s="478" t="s">
        <v>1191</v>
      </c>
      <c r="S99" s="478" t="s">
        <v>1191</v>
      </c>
      <c r="T99" s="478" t="s">
        <v>1189</v>
      </c>
      <c r="U99" s="478" t="s">
        <v>1189</v>
      </c>
      <c r="V99" s="478" t="s">
        <v>1189</v>
      </c>
      <c r="W99" s="478" t="s">
        <v>150</v>
      </c>
      <c r="X99" s="478" t="s">
        <v>1189</v>
      </c>
      <c r="Y99" s="478" t="s">
        <v>150</v>
      </c>
      <c r="Z99" s="478" t="s">
        <v>1194</v>
      </c>
      <c r="AA99" s="478" t="s">
        <v>1200</v>
      </c>
      <c r="AB99" s="478" t="s">
        <v>150</v>
      </c>
    </row>
    <row r="100" spans="1:28" x14ac:dyDescent="0.25">
      <c r="A100" s="24" t="str">
        <f t="shared" si="1"/>
        <v>Walter Evans Church of England Aided Primary School</v>
      </c>
      <c r="B100" s="477">
        <v>142752</v>
      </c>
      <c r="C100" s="478" t="s">
        <v>1181</v>
      </c>
      <c r="D100" s="478" t="s">
        <v>1182</v>
      </c>
      <c r="E100" s="477">
        <v>3530</v>
      </c>
      <c r="F100" s="478" t="s">
        <v>126</v>
      </c>
      <c r="G100" s="478" t="s">
        <v>1226</v>
      </c>
      <c r="H100" s="478" t="s">
        <v>1185</v>
      </c>
      <c r="I100" s="478" t="s">
        <v>1251</v>
      </c>
      <c r="J100" s="478" t="s">
        <v>150</v>
      </c>
      <c r="K100" s="478" t="s">
        <v>265</v>
      </c>
      <c r="L100" s="477">
        <v>3</v>
      </c>
      <c r="M100" s="477">
        <v>11</v>
      </c>
      <c r="N100" s="478" t="s">
        <v>1187</v>
      </c>
      <c r="O100" s="478" t="s">
        <v>1188</v>
      </c>
      <c r="P100" s="478" t="s">
        <v>1205</v>
      </c>
      <c r="Q100" s="478" t="s">
        <v>1190</v>
      </c>
      <c r="R100" s="478" t="s">
        <v>1209</v>
      </c>
      <c r="S100" s="478" t="s">
        <v>1191</v>
      </c>
      <c r="T100" s="478" t="s">
        <v>1210</v>
      </c>
      <c r="U100" s="478" t="s">
        <v>1189</v>
      </c>
      <c r="V100" s="478" t="s">
        <v>1222</v>
      </c>
      <c r="W100" s="478" t="s">
        <v>1247</v>
      </c>
      <c r="X100" s="478" t="s">
        <v>1224</v>
      </c>
      <c r="Y100" s="478" t="s">
        <v>1248</v>
      </c>
      <c r="Z100" s="478" t="s">
        <v>1189</v>
      </c>
      <c r="AA100" s="478" t="s">
        <v>150</v>
      </c>
      <c r="AB100" s="477">
        <v>10056154</v>
      </c>
    </row>
    <row r="101" spans="1:28" x14ac:dyDescent="0.25">
      <c r="A101" s="24" t="str">
        <f t="shared" si="1"/>
        <v>West Park School</v>
      </c>
      <c r="B101" s="477">
        <v>136634</v>
      </c>
      <c r="C101" s="478" t="s">
        <v>1181</v>
      </c>
      <c r="D101" s="478" t="s">
        <v>1182</v>
      </c>
      <c r="E101" s="477">
        <v>5412</v>
      </c>
      <c r="F101" s="478" t="s">
        <v>147</v>
      </c>
      <c r="G101" s="478" t="s">
        <v>1226</v>
      </c>
      <c r="H101" s="478" t="s">
        <v>1185</v>
      </c>
      <c r="I101" s="478" t="s">
        <v>1227</v>
      </c>
      <c r="J101" s="478" t="s">
        <v>150</v>
      </c>
      <c r="K101" s="478" t="s">
        <v>197</v>
      </c>
      <c r="L101" s="477">
        <v>11</v>
      </c>
      <c r="M101" s="477">
        <v>16</v>
      </c>
      <c r="N101" s="478" t="s">
        <v>1187</v>
      </c>
      <c r="O101" s="478" t="s">
        <v>1189</v>
      </c>
      <c r="P101" s="478" t="s">
        <v>1205</v>
      </c>
      <c r="Q101" s="478" t="s">
        <v>1190</v>
      </c>
      <c r="R101" s="478" t="s">
        <v>1213</v>
      </c>
      <c r="S101" s="478" t="s">
        <v>1191</v>
      </c>
      <c r="T101" s="478" t="s">
        <v>1189</v>
      </c>
      <c r="U101" s="478" t="s">
        <v>1214</v>
      </c>
      <c r="V101" s="478" t="s">
        <v>1228</v>
      </c>
      <c r="W101" s="478" t="s">
        <v>1229</v>
      </c>
      <c r="X101" s="478" t="s">
        <v>1230</v>
      </c>
      <c r="Y101" s="478" t="s">
        <v>150</v>
      </c>
      <c r="Z101" s="478" t="s">
        <v>1189</v>
      </c>
      <c r="AA101" s="478" t="s">
        <v>150</v>
      </c>
      <c r="AB101" s="477">
        <v>10033352</v>
      </c>
    </row>
    <row r="102" spans="1:28" x14ac:dyDescent="0.25">
      <c r="A102" s="24" t="str">
        <f t="shared" si="1"/>
        <v>Whitecross Nursery School</v>
      </c>
      <c r="B102" s="477">
        <v>112480</v>
      </c>
      <c r="C102" s="478" t="s">
        <v>1181</v>
      </c>
      <c r="D102" s="478" t="s">
        <v>1182</v>
      </c>
      <c r="E102" s="477">
        <v>1015</v>
      </c>
      <c r="F102" s="478" t="s">
        <v>1203</v>
      </c>
      <c r="G102" s="478" t="s">
        <v>1184</v>
      </c>
      <c r="H102" s="478" t="s">
        <v>1185</v>
      </c>
      <c r="I102" s="478" t="s">
        <v>150</v>
      </c>
      <c r="J102" s="478" t="s">
        <v>150</v>
      </c>
      <c r="K102" s="478" t="s">
        <v>1186</v>
      </c>
      <c r="L102" s="477">
        <v>2</v>
      </c>
      <c r="M102" s="477">
        <v>4</v>
      </c>
      <c r="N102" s="478" t="s">
        <v>1187</v>
      </c>
      <c r="O102" s="478" t="s">
        <v>1188</v>
      </c>
      <c r="P102" s="478" t="s">
        <v>1189</v>
      </c>
      <c r="Q102" s="478" t="s">
        <v>1190</v>
      </c>
      <c r="R102" s="478" t="s">
        <v>1191</v>
      </c>
      <c r="S102" s="478" t="s">
        <v>1191</v>
      </c>
      <c r="T102" s="478" t="s">
        <v>1189</v>
      </c>
      <c r="U102" s="478" t="s">
        <v>1189</v>
      </c>
      <c r="V102" s="478" t="s">
        <v>1189</v>
      </c>
      <c r="W102" s="478" t="s">
        <v>150</v>
      </c>
      <c r="X102" s="478" t="s">
        <v>1189</v>
      </c>
      <c r="Y102" s="478" t="s">
        <v>150</v>
      </c>
      <c r="Z102" s="478" t="s">
        <v>1192</v>
      </c>
      <c r="AA102" s="478" t="s">
        <v>150</v>
      </c>
      <c r="AB102" s="478" t="s">
        <v>150</v>
      </c>
    </row>
    <row r="103" spans="1:28" x14ac:dyDescent="0.25">
      <c r="A103" s="24" t="str">
        <f t="shared" si="1"/>
        <v>Wren Park Primary School</v>
      </c>
      <c r="B103" s="477">
        <v>112758</v>
      </c>
      <c r="C103" s="478" t="s">
        <v>1181</v>
      </c>
      <c r="D103" s="478" t="s">
        <v>1182</v>
      </c>
      <c r="E103" s="477">
        <v>2459</v>
      </c>
      <c r="F103" s="478" t="s">
        <v>76</v>
      </c>
      <c r="G103" s="478" t="s">
        <v>1204</v>
      </c>
      <c r="H103" s="478" t="s">
        <v>1185</v>
      </c>
      <c r="I103" s="478" t="s">
        <v>150</v>
      </c>
      <c r="J103" s="478" t="s">
        <v>150</v>
      </c>
      <c r="K103" s="478" t="s">
        <v>265</v>
      </c>
      <c r="L103" s="477">
        <v>4</v>
      </c>
      <c r="M103" s="477">
        <v>11</v>
      </c>
      <c r="N103" s="478" t="s">
        <v>1187</v>
      </c>
      <c r="O103" s="478" t="s">
        <v>1206</v>
      </c>
      <c r="P103" s="478" t="s">
        <v>1205</v>
      </c>
      <c r="Q103" s="478" t="s">
        <v>1190</v>
      </c>
      <c r="R103" s="478" t="s">
        <v>1191</v>
      </c>
      <c r="S103" s="478" t="s">
        <v>1191</v>
      </c>
      <c r="T103" s="478" t="s">
        <v>1189</v>
      </c>
      <c r="U103" s="478" t="s">
        <v>1189</v>
      </c>
      <c r="V103" s="478" t="s">
        <v>1189</v>
      </c>
      <c r="W103" s="478" t="s">
        <v>150</v>
      </c>
      <c r="X103" s="478" t="s">
        <v>1189</v>
      </c>
      <c r="Y103" s="478" t="s">
        <v>150</v>
      </c>
      <c r="Z103" s="478" t="s">
        <v>1192</v>
      </c>
      <c r="AA103" s="478" t="s">
        <v>150</v>
      </c>
      <c r="AB103" s="477">
        <v>10076128</v>
      </c>
    </row>
    <row r="104" spans="1:28" x14ac:dyDescent="0.25">
      <c r="A104" s="24" t="str">
        <f t="shared" si="1"/>
        <v>Wyndham Spencer Academy</v>
      </c>
      <c r="B104" s="477">
        <v>138443</v>
      </c>
      <c r="C104" s="478" t="s">
        <v>1181</v>
      </c>
      <c r="D104" s="478" t="s">
        <v>1182</v>
      </c>
      <c r="E104" s="477">
        <v>2007</v>
      </c>
      <c r="F104" s="478" t="s">
        <v>90</v>
      </c>
      <c r="G104" s="478" t="s">
        <v>1220</v>
      </c>
      <c r="H104" s="478" t="s">
        <v>1185</v>
      </c>
      <c r="I104" s="478" t="s">
        <v>1232</v>
      </c>
      <c r="J104" s="478" t="s">
        <v>150</v>
      </c>
      <c r="K104" s="478" t="s">
        <v>265</v>
      </c>
      <c r="L104" s="477">
        <v>3</v>
      </c>
      <c r="M104" s="477">
        <v>11</v>
      </c>
      <c r="N104" s="478" t="s">
        <v>1189</v>
      </c>
      <c r="O104" s="478" t="s">
        <v>1188</v>
      </c>
      <c r="P104" s="478" t="s">
        <v>1189</v>
      </c>
      <c r="Q104" s="478" t="s">
        <v>1190</v>
      </c>
      <c r="R104" s="478" t="s">
        <v>1213</v>
      </c>
      <c r="S104" s="478" t="s">
        <v>1213</v>
      </c>
      <c r="T104" s="478" t="s">
        <v>1189</v>
      </c>
      <c r="U104" s="478" t="s">
        <v>1189</v>
      </c>
      <c r="V104" s="478" t="s">
        <v>1222</v>
      </c>
      <c r="W104" s="478" t="s">
        <v>1233</v>
      </c>
      <c r="X104" s="478" t="s">
        <v>1224</v>
      </c>
      <c r="Y104" s="478" t="s">
        <v>1234</v>
      </c>
      <c r="Z104" s="478" t="s">
        <v>1189</v>
      </c>
      <c r="AA104" s="478" t="s">
        <v>150</v>
      </c>
      <c r="AB104" s="477">
        <v>10038402</v>
      </c>
    </row>
    <row r="105" spans="1:28" x14ac:dyDescent="0.25">
      <c r="A105" s="24" t="str">
        <f t="shared" si="1"/>
        <v>Zaytouna Primary School</v>
      </c>
      <c r="B105" s="477">
        <v>138776</v>
      </c>
      <c r="C105" s="478" t="s">
        <v>1181</v>
      </c>
      <c r="D105" s="478" t="s">
        <v>1182</v>
      </c>
      <c r="E105" s="477">
        <v>4000</v>
      </c>
      <c r="F105" s="478" t="s">
        <v>134</v>
      </c>
      <c r="G105" s="478" t="s">
        <v>1239</v>
      </c>
      <c r="H105" s="478" t="s">
        <v>1185</v>
      </c>
      <c r="I105" s="478" t="s">
        <v>1232</v>
      </c>
      <c r="J105" s="478" t="s">
        <v>150</v>
      </c>
      <c r="K105" s="478" t="s">
        <v>265</v>
      </c>
      <c r="L105" s="477">
        <v>4</v>
      </c>
      <c r="M105" s="477">
        <v>11</v>
      </c>
      <c r="N105" s="478" t="s">
        <v>1189</v>
      </c>
      <c r="O105" s="478" t="s">
        <v>1206</v>
      </c>
      <c r="P105" s="478" t="s">
        <v>1205</v>
      </c>
      <c r="Q105" s="478" t="s">
        <v>1190</v>
      </c>
      <c r="R105" s="478" t="s">
        <v>1240</v>
      </c>
      <c r="S105" s="478" t="s">
        <v>1213</v>
      </c>
      <c r="T105" s="478" t="s">
        <v>1189</v>
      </c>
      <c r="U105" s="478" t="s">
        <v>1189</v>
      </c>
      <c r="V105" s="478" t="s">
        <v>1222</v>
      </c>
      <c r="W105" s="478" t="s">
        <v>1241</v>
      </c>
      <c r="X105" s="478" t="s">
        <v>1224</v>
      </c>
      <c r="Y105" s="478" t="s">
        <v>1242</v>
      </c>
      <c r="Z105" s="478" t="s">
        <v>1189</v>
      </c>
      <c r="AA105" s="478" t="s">
        <v>150</v>
      </c>
      <c r="AB105" s="477">
        <v>10038797</v>
      </c>
    </row>
  </sheetData>
  <sheetProtection autoFilter="0"/>
  <autoFilter ref="A6:AB105" xr:uid="{9F6B530A-5013-498B-8275-ACCD06914533}"/>
  <sortState xmlns:xlrd2="http://schemas.microsoft.com/office/spreadsheetml/2017/richdata2" ref="B7:AB105">
    <sortCondition ref="F9:F105"/>
  </sortState>
  <hyperlinks>
    <hyperlink ref="B5" r:id="rId1" display="https://get-information-schools.service.gov.uk/Search?SelectedTab=Establishments" xr:uid="{1AD80457-F0E3-4C43-B49B-109637ED0F6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7030A0"/>
  </sheetPr>
  <dimension ref="A1:H744"/>
  <sheetViews>
    <sheetView workbookViewId="0"/>
  </sheetViews>
  <sheetFormatPr defaultRowHeight="12.5" x14ac:dyDescent="0.25"/>
  <cols>
    <col min="1" max="1" width="70.81640625" style="2" bestFit="1" customWidth="1"/>
    <col min="2" max="2" width="14.453125" style="8" customWidth="1"/>
    <col min="3" max="4" width="12.1796875" style="8" customWidth="1"/>
    <col min="5" max="222" width="9.1796875" style="2"/>
    <col min="223" max="223" width="61.54296875" style="2" customWidth="1"/>
    <col min="224" max="224" width="17.81640625" style="2" customWidth="1"/>
    <col min="225" max="225" width="19.81640625" style="2" customWidth="1"/>
    <col min="226" max="226" width="11.54296875" style="2" customWidth="1"/>
    <col min="227" max="478" width="9.1796875" style="2"/>
    <col min="479" max="479" width="61.54296875" style="2" customWidth="1"/>
    <col min="480" max="480" width="17.81640625" style="2" customWidth="1"/>
    <col min="481" max="481" width="19.81640625" style="2" customWidth="1"/>
    <col min="482" max="482" width="11.54296875" style="2" customWidth="1"/>
    <col min="483" max="734" width="9.1796875" style="2"/>
    <col min="735" max="735" width="61.54296875" style="2" customWidth="1"/>
    <col min="736" max="736" width="17.81640625" style="2" customWidth="1"/>
    <col min="737" max="737" width="19.81640625" style="2" customWidth="1"/>
    <col min="738" max="738" width="11.54296875" style="2" customWidth="1"/>
    <col min="739" max="990" width="9.1796875" style="2"/>
    <col min="991" max="991" width="61.54296875" style="2" customWidth="1"/>
    <col min="992" max="992" width="17.81640625" style="2" customWidth="1"/>
    <col min="993" max="993" width="19.81640625" style="2" customWidth="1"/>
    <col min="994" max="994" width="11.54296875" style="2" customWidth="1"/>
    <col min="995" max="1246" width="9.1796875" style="2"/>
    <col min="1247" max="1247" width="61.54296875" style="2" customWidth="1"/>
    <col min="1248" max="1248" width="17.81640625" style="2" customWidth="1"/>
    <col min="1249" max="1249" width="19.81640625" style="2" customWidth="1"/>
    <col min="1250" max="1250" width="11.54296875" style="2" customWidth="1"/>
    <col min="1251" max="1502" width="9.1796875" style="2"/>
    <col min="1503" max="1503" width="61.54296875" style="2" customWidth="1"/>
    <col min="1504" max="1504" width="17.81640625" style="2" customWidth="1"/>
    <col min="1505" max="1505" width="19.81640625" style="2" customWidth="1"/>
    <col min="1506" max="1506" width="11.54296875" style="2" customWidth="1"/>
    <col min="1507" max="1758" width="9.1796875" style="2"/>
    <col min="1759" max="1759" width="61.54296875" style="2" customWidth="1"/>
    <col min="1760" max="1760" width="17.81640625" style="2" customWidth="1"/>
    <col min="1761" max="1761" width="19.81640625" style="2" customWidth="1"/>
    <col min="1762" max="1762" width="11.54296875" style="2" customWidth="1"/>
    <col min="1763" max="2014" width="9.1796875" style="2"/>
    <col min="2015" max="2015" width="61.54296875" style="2" customWidth="1"/>
    <col min="2016" max="2016" width="17.81640625" style="2" customWidth="1"/>
    <col min="2017" max="2017" width="19.81640625" style="2" customWidth="1"/>
    <col min="2018" max="2018" width="11.54296875" style="2" customWidth="1"/>
    <col min="2019" max="2270" width="9.1796875" style="2"/>
    <col min="2271" max="2271" width="61.54296875" style="2" customWidth="1"/>
    <col min="2272" max="2272" width="17.81640625" style="2" customWidth="1"/>
    <col min="2273" max="2273" width="19.81640625" style="2" customWidth="1"/>
    <col min="2274" max="2274" width="11.54296875" style="2" customWidth="1"/>
    <col min="2275" max="2526" width="9.1796875" style="2"/>
    <col min="2527" max="2527" width="61.54296875" style="2" customWidth="1"/>
    <col min="2528" max="2528" width="17.81640625" style="2" customWidth="1"/>
    <col min="2529" max="2529" width="19.81640625" style="2" customWidth="1"/>
    <col min="2530" max="2530" width="11.54296875" style="2" customWidth="1"/>
    <col min="2531" max="2782" width="9.1796875" style="2"/>
    <col min="2783" max="2783" width="61.54296875" style="2" customWidth="1"/>
    <col min="2784" max="2784" width="17.81640625" style="2" customWidth="1"/>
    <col min="2785" max="2785" width="19.81640625" style="2" customWidth="1"/>
    <col min="2786" max="2786" width="11.54296875" style="2" customWidth="1"/>
    <col min="2787" max="3038" width="9.1796875" style="2"/>
    <col min="3039" max="3039" width="61.54296875" style="2" customWidth="1"/>
    <col min="3040" max="3040" width="17.81640625" style="2" customWidth="1"/>
    <col min="3041" max="3041" width="19.81640625" style="2" customWidth="1"/>
    <col min="3042" max="3042" width="11.54296875" style="2" customWidth="1"/>
    <col min="3043" max="3294" width="9.1796875" style="2"/>
    <col min="3295" max="3295" width="61.54296875" style="2" customWidth="1"/>
    <col min="3296" max="3296" width="17.81640625" style="2" customWidth="1"/>
    <col min="3297" max="3297" width="19.81640625" style="2" customWidth="1"/>
    <col min="3298" max="3298" width="11.54296875" style="2" customWidth="1"/>
    <col min="3299" max="3550" width="9.1796875" style="2"/>
    <col min="3551" max="3551" width="61.54296875" style="2" customWidth="1"/>
    <col min="3552" max="3552" width="17.81640625" style="2" customWidth="1"/>
    <col min="3553" max="3553" width="19.81640625" style="2" customWidth="1"/>
    <col min="3554" max="3554" width="11.54296875" style="2" customWidth="1"/>
    <col min="3555" max="3806" width="9.1796875" style="2"/>
    <col min="3807" max="3807" width="61.54296875" style="2" customWidth="1"/>
    <col min="3808" max="3808" width="17.81640625" style="2" customWidth="1"/>
    <col min="3809" max="3809" width="19.81640625" style="2" customWidth="1"/>
    <col min="3810" max="3810" width="11.54296875" style="2" customWidth="1"/>
    <col min="3811" max="4062" width="9.1796875" style="2"/>
    <col min="4063" max="4063" width="61.54296875" style="2" customWidth="1"/>
    <col min="4064" max="4064" width="17.81640625" style="2" customWidth="1"/>
    <col min="4065" max="4065" width="19.81640625" style="2" customWidth="1"/>
    <col min="4066" max="4066" width="11.54296875" style="2" customWidth="1"/>
    <col min="4067" max="4318" width="9.1796875" style="2"/>
    <col min="4319" max="4319" width="61.54296875" style="2" customWidth="1"/>
    <col min="4320" max="4320" width="17.81640625" style="2" customWidth="1"/>
    <col min="4321" max="4321" width="19.81640625" style="2" customWidth="1"/>
    <col min="4322" max="4322" width="11.54296875" style="2" customWidth="1"/>
    <col min="4323" max="4574" width="9.1796875" style="2"/>
    <col min="4575" max="4575" width="61.54296875" style="2" customWidth="1"/>
    <col min="4576" max="4576" width="17.81640625" style="2" customWidth="1"/>
    <col min="4577" max="4577" width="19.81640625" style="2" customWidth="1"/>
    <col min="4578" max="4578" width="11.54296875" style="2" customWidth="1"/>
    <col min="4579" max="4830" width="9.1796875" style="2"/>
    <col min="4831" max="4831" width="61.54296875" style="2" customWidth="1"/>
    <col min="4832" max="4832" width="17.81640625" style="2" customWidth="1"/>
    <col min="4833" max="4833" width="19.81640625" style="2" customWidth="1"/>
    <col min="4834" max="4834" width="11.54296875" style="2" customWidth="1"/>
    <col min="4835" max="5086" width="9.1796875" style="2"/>
    <col min="5087" max="5087" width="61.54296875" style="2" customWidth="1"/>
    <col min="5088" max="5088" width="17.81640625" style="2" customWidth="1"/>
    <col min="5089" max="5089" width="19.81640625" style="2" customWidth="1"/>
    <col min="5090" max="5090" width="11.54296875" style="2" customWidth="1"/>
    <col min="5091" max="5342" width="9.1796875" style="2"/>
    <col min="5343" max="5343" width="61.54296875" style="2" customWidth="1"/>
    <col min="5344" max="5344" width="17.81640625" style="2" customWidth="1"/>
    <col min="5345" max="5345" width="19.81640625" style="2" customWidth="1"/>
    <col min="5346" max="5346" width="11.54296875" style="2" customWidth="1"/>
    <col min="5347" max="5598" width="9.1796875" style="2"/>
    <col min="5599" max="5599" width="61.54296875" style="2" customWidth="1"/>
    <col min="5600" max="5600" width="17.81640625" style="2" customWidth="1"/>
    <col min="5601" max="5601" width="19.81640625" style="2" customWidth="1"/>
    <col min="5602" max="5602" width="11.54296875" style="2" customWidth="1"/>
    <col min="5603" max="5854" width="9.1796875" style="2"/>
    <col min="5855" max="5855" width="61.54296875" style="2" customWidth="1"/>
    <col min="5856" max="5856" width="17.81640625" style="2" customWidth="1"/>
    <col min="5857" max="5857" width="19.81640625" style="2" customWidth="1"/>
    <col min="5858" max="5858" width="11.54296875" style="2" customWidth="1"/>
    <col min="5859" max="6110" width="9.1796875" style="2"/>
    <col min="6111" max="6111" width="61.54296875" style="2" customWidth="1"/>
    <col min="6112" max="6112" width="17.81640625" style="2" customWidth="1"/>
    <col min="6113" max="6113" width="19.81640625" style="2" customWidth="1"/>
    <col min="6114" max="6114" width="11.54296875" style="2" customWidth="1"/>
    <col min="6115" max="6366" width="9.1796875" style="2"/>
    <col min="6367" max="6367" width="61.54296875" style="2" customWidth="1"/>
    <col min="6368" max="6368" width="17.81640625" style="2" customWidth="1"/>
    <col min="6369" max="6369" width="19.81640625" style="2" customWidth="1"/>
    <col min="6370" max="6370" width="11.54296875" style="2" customWidth="1"/>
    <col min="6371" max="6622" width="9.1796875" style="2"/>
    <col min="6623" max="6623" width="61.54296875" style="2" customWidth="1"/>
    <col min="6624" max="6624" width="17.81640625" style="2" customWidth="1"/>
    <col min="6625" max="6625" width="19.81640625" style="2" customWidth="1"/>
    <col min="6626" max="6626" width="11.54296875" style="2" customWidth="1"/>
    <col min="6627" max="6878" width="9.1796875" style="2"/>
    <col min="6879" max="6879" width="61.54296875" style="2" customWidth="1"/>
    <col min="6880" max="6880" width="17.81640625" style="2" customWidth="1"/>
    <col min="6881" max="6881" width="19.81640625" style="2" customWidth="1"/>
    <col min="6882" max="6882" width="11.54296875" style="2" customWidth="1"/>
    <col min="6883" max="7134" width="9.1796875" style="2"/>
    <col min="7135" max="7135" width="61.54296875" style="2" customWidth="1"/>
    <col min="7136" max="7136" width="17.81640625" style="2" customWidth="1"/>
    <col min="7137" max="7137" width="19.81640625" style="2" customWidth="1"/>
    <col min="7138" max="7138" width="11.54296875" style="2" customWidth="1"/>
    <col min="7139" max="7390" width="9.1796875" style="2"/>
    <col min="7391" max="7391" width="61.54296875" style="2" customWidth="1"/>
    <col min="7392" max="7392" width="17.81640625" style="2" customWidth="1"/>
    <col min="7393" max="7393" width="19.81640625" style="2" customWidth="1"/>
    <col min="7394" max="7394" width="11.54296875" style="2" customWidth="1"/>
    <col min="7395" max="7646" width="9.1796875" style="2"/>
    <col min="7647" max="7647" width="61.54296875" style="2" customWidth="1"/>
    <col min="7648" max="7648" width="17.81640625" style="2" customWidth="1"/>
    <col min="7649" max="7649" width="19.81640625" style="2" customWidth="1"/>
    <col min="7650" max="7650" width="11.54296875" style="2" customWidth="1"/>
    <col min="7651" max="7902" width="9.1796875" style="2"/>
    <col min="7903" max="7903" width="61.54296875" style="2" customWidth="1"/>
    <col min="7904" max="7904" width="17.81640625" style="2" customWidth="1"/>
    <col min="7905" max="7905" width="19.81640625" style="2" customWidth="1"/>
    <col min="7906" max="7906" width="11.54296875" style="2" customWidth="1"/>
    <col min="7907" max="8158" width="9.1796875" style="2"/>
    <col min="8159" max="8159" width="61.54296875" style="2" customWidth="1"/>
    <col min="8160" max="8160" width="17.81640625" style="2" customWidth="1"/>
    <col min="8161" max="8161" width="19.81640625" style="2" customWidth="1"/>
    <col min="8162" max="8162" width="11.54296875" style="2" customWidth="1"/>
    <col min="8163" max="8414" width="9.1796875" style="2"/>
    <col min="8415" max="8415" width="61.54296875" style="2" customWidth="1"/>
    <col min="8416" max="8416" width="17.81640625" style="2" customWidth="1"/>
    <col min="8417" max="8417" width="19.81640625" style="2" customWidth="1"/>
    <col min="8418" max="8418" width="11.54296875" style="2" customWidth="1"/>
    <col min="8419" max="8670" width="9.1796875" style="2"/>
    <col min="8671" max="8671" width="61.54296875" style="2" customWidth="1"/>
    <col min="8672" max="8672" width="17.81640625" style="2" customWidth="1"/>
    <col min="8673" max="8673" width="19.81640625" style="2" customWidth="1"/>
    <col min="8674" max="8674" width="11.54296875" style="2" customWidth="1"/>
    <col min="8675" max="8926" width="9.1796875" style="2"/>
    <col min="8927" max="8927" width="61.54296875" style="2" customWidth="1"/>
    <col min="8928" max="8928" width="17.81640625" style="2" customWidth="1"/>
    <col min="8929" max="8929" width="19.81640625" style="2" customWidth="1"/>
    <col min="8930" max="8930" width="11.54296875" style="2" customWidth="1"/>
    <col min="8931" max="9182" width="9.1796875" style="2"/>
    <col min="9183" max="9183" width="61.54296875" style="2" customWidth="1"/>
    <col min="9184" max="9184" width="17.81640625" style="2" customWidth="1"/>
    <col min="9185" max="9185" width="19.81640625" style="2" customWidth="1"/>
    <col min="9186" max="9186" width="11.54296875" style="2" customWidth="1"/>
    <col min="9187" max="9438" width="9.1796875" style="2"/>
    <col min="9439" max="9439" width="61.54296875" style="2" customWidth="1"/>
    <col min="9440" max="9440" width="17.81640625" style="2" customWidth="1"/>
    <col min="9441" max="9441" width="19.81640625" style="2" customWidth="1"/>
    <col min="9442" max="9442" width="11.54296875" style="2" customWidth="1"/>
    <col min="9443" max="9694" width="9.1796875" style="2"/>
    <col min="9695" max="9695" width="61.54296875" style="2" customWidth="1"/>
    <col min="9696" max="9696" width="17.81640625" style="2" customWidth="1"/>
    <col min="9697" max="9697" width="19.81640625" style="2" customWidth="1"/>
    <col min="9698" max="9698" width="11.54296875" style="2" customWidth="1"/>
    <col min="9699" max="9950" width="9.1796875" style="2"/>
    <col min="9951" max="9951" width="61.54296875" style="2" customWidth="1"/>
    <col min="9952" max="9952" width="17.81640625" style="2" customWidth="1"/>
    <col min="9953" max="9953" width="19.81640625" style="2" customWidth="1"/>
    <col min="9954" max="9954" width="11.54296875" style="2" customWidth="1"/>
    <col min="9955" max="10206" width="9.1796875" style="2"/>
    <col min="10207" max="10207" width="61.54296875" style="2" customWidth="1"/>
    <col min="10208" max="10208" width="17.81640625" style="2" customWidth="1"/>
    <col min="10209" max="10209" width="19.81640625" style="2" customWidth="1"/>
    <col min="10210" max="10210" width="11.54296875" style="2" customWidth="1"/>
    <col min="10211" max="10462" width="9.1796875" style="2"/>
    <col min="10463" max="10463" width="61.54296875" style="2" customWidth="1"/>
    <col min="10464" max="10464" width="17.81640625" style="2" customWidth="1"/>
    <col min="10465" max="10465" width="19.81640625" style="2" customWidth="1"/>
    <col min="10466" max="10466" width="11.54296875" style="2" customWidth="1"/>
    <col min="10467" max="10718" width="9.1796875" style="2"/>
    <col min="10719" max="10719" width="61.54296875" style="2" customWidth="1"/>
    <col min="10720" max="10720" width="17.81640625" style="2" customWidth="1"/>
    <col min="10721" max="10721" width="19.81640625" style="2" customWidth="1"/>
    <col min="10722" max="10722" width="11.54296875" style="2" customWidth="1"/>
    <col min="10723" max="10974" width="9.1796875" style="2"/>
    <col min="10975" max="10975" width="61.54296875" style="2" customWidth="1"/>
    <col min="10976" max="10976" width="17.81640625" style="2" customWidth="1"/>
    <col min="10977" max="10977" width="19.81640625" style="2" customWidth="1"/>
    <col min="10978" max="10978" width="11.54296875" style="2" customWidth="1"/>
    <col min="10979" max="11230" width="9.1796875" style="2"/>
    <col min="11231" max="11231" width="61.54296875" style="2" customWidth="1"/>
    <col min="11232" max="11232" width="17.81640625" style="2" customWidth="1"/>
    <col min="11233" max="11233" width="19.81640625" style="2" customWidth="1"/>
    <col min="11234" max="11234" width="11.54296875" style="2" customWidth="1"/>
    <col min="11235" max="11486" width="9.1796875" style="2"/>
    <col min="11487" max="11487" width="61.54296875" style="2" customWidth="1"/>
    <col min="11488" max="11488" width="17.81640625" style="2" customWidth="1"/>
    <col min="11489" max="11489" width="19.81640625" style="2" customWidth="1"/>
    <col min="11490" max="11490" width="11.54296875" style="2" customWidth="1"/>
    <col min="11491" max="11742" width="9.1796875" style="2"/>
    <col min="11743" max="11743" width="61.54296875" style="2" customWidth="1"/>
    <col min="11744" max="11744" width="17.81640625" style="2" customWidth="1"/>
    <col min="11745" max="11745" width="19.81640625" style="2" customWidth="1"/>
    <col min="11746" max="11746" width="11.54296875" style="2" customWidth="1"/>
    <col min="11747" max="11998" width="9.1796875" style="2"/>
    <col min="11999" max="11999" width="61.54296875" style="2" customWidth="1"/>
    <col min="12000" max="12000" width="17.81640625" style="2" customWidth="1"/>
    <col min="12001" max="12001" width="19.81640625" style="2" customWidth="1"/>
    <col min="12002" max="12002" width="11.54296875" style="2" customWidth="1"/>
    <col min="12003" max="12254" width="9.1796875" style="2"/>
    <col min="12255" max="12255" width="61.54296875" style="2" customWidth="1"/>
    <col min="12256" max="12256" width="17.81640625" style="2" customWidth="1"/>
    <col min="12257" max="12257" width="19.81640625" style="2" customWidth="1"/>
    <col min="12258" max="12258" width="11.54296875" style="2" customWidth="1"/>
    <col min="12259" max="12510" width="9.1796875" style="2"/>
    <col min="12511" max="12511" width="61.54296875" style="2" customWidth="1"/>
    <col min="12512" max="12512" width="17.81640625" style="2" customWidth="1"/>
    <col min="12513" max="12513" width="19.81640625" style="2" customWidth="1"/>
    <col min="12514" max="12514" width="11.54296875" style="2" customWidth="1"/>
    <col min="12515" max="12766" width="9.1796875" style="2"/>
    <col min="12767" max="12767" width="61.54296875" style="2" customWidth="1"/>
    <col min="12768" max="12768" width="17.81640625" style="2" customWidth="1"/>
    <col min="12769" max="12769" width="19.81640625" style="2" customWidth="1"/>
    <col min="12770" max="12770" width="11.54296875" style="2" customWidth="1"/>
    <col min="12771" max="13022" width="9.1796875" style="2"/>
    <col min="13023" max="13023" width="61.54296875" style="2" customWidth="1"/>
    <col min="13024" max="13024" width="17.81640625" style="2" customWidth="1"/>
    <col min="13025" max="13025" width="19.81640625" style="2" customWidth="1"/>
    <col min="13026" max="13026" width="11.54296875" style="2" customWidth="1"/>
    <col min="13027" max="13278" width="9.1796875" style="2"/>
    <col min="13279" max="13279" width="61.54296875" style="2" customWidth="1"/>
    <col min="13280" max="13280" width="17.81640625" style="2" customWidth="1"/>
    <col min="13281" max="13281" width="19.81640625" style="2" customWidth="1"/>
    <col min="13282" max="13282" width="11.54296875" style="2" customWidth="1"/>
    <col min="13283" max="13534" width="9.1796875" style="2"/>
    <col min="13535" max="13535" width="61.54296875" style="2" customWidth="1"/>
    <col min="13536" max="13536" width="17.81640625" style="2" customWidth="1"/>
    <col min="13537" max="13537" width="19.81640625" style="2" customWidth="1"/>
    <col min="13538" max="13538" width="11.54296875" style="2" customWidth="1"/>
    <col min="13539" max="13790" width="9.1796875" style="2"/>
    <col min="13791" max="13791" width="61.54296875" style="2" customWidth="1"/>
    <col min="13792" max="13792" width="17.81640625" style="2" customWidth="1"/>
    <col min="13793" max="13793" width="19.81640625" style="2" customWidth="1"/>
    <col min="13794" max="13794" width="11.54296875" style="2" customWidth="1"/>
    <col min="13795" max="14046" width="9.1796875" style="2"/>
    <col min="14047" max="14047" width="61.54296875" style="2" customWidth="1"/>
    <col min="14048" max="14048" width="17.81640625" style="2" customWidth="1"/>
    <col min="14049" max="14049" width="19.81640625" style="2" customWidth="1"/>
    <col min="14050" max="14050" width="11.54296875" style="2" customWidth="1"/>
    <col min="14051" max="14302" width="9.1796875" style="2"/>
    <col min="14303" max="14303" width="61.54296875" style="2" customWidth="1"/>
    <col min="14304" max="14304" width="17.81640625" style="2" customWidth="1"/>
    <col min="14305" max="14305" width="19.81640625" style="2" customWidth="1"/>
    <col min="14306" max="14306" width="11.54296875" style="2" customWidth="1"/>
    <col min="14307" max="14558" width="9.1796875" style="2"/>
    <col min="14559" max="14559" width="61.54296875" style="2" customWidth="1"/>
    <col min="14560" max="14560" width="17.81640625" style="2" customWidth="1"/>
    <col min="14561" max="14561" width="19.81640625" style="2" customWidth="1"/>
    <col min="14562" max="14562" width="11.54296875" style="2" customWidth="1"/>
    <col min="14563" max="14814" width="9.1796875" style="2"/>
    <col min="14815" max="14815" width="61.54296875" style="2" customWidth="1"/>
    <col min="14816" max="14816" width="17.81640625" style="2" customWidth="1"/>
    <col min="14817" max="14817" width="19.81640625" style="2" customWidth="1"/>
    <col min="14818" max="14818" width="11.54296875" style="2" customWidth="1"/>
    <col min="14819" max="15070" width="9.1796875" style="2"/>
    <col min="15071" max="15071" width="61.54296875" style="2" customWidth="1"/>
    <col min="15072" max="15072" width="17.81640625" style="2" customWidth="1"/>
    <col min="15073" max="15073" width="19.81640625" style="2" customWidth="1"/>
    <col min="15074" max="15074" width="11.54296875" style="2" customWidth="1"/>
    <col min="15075" max="15326" width="9.1796875" style="2"/>
    <col min="15327" max="15327" width="61.54296875" style="2" customWidth="1"/>
    <col min="15328" max="15328" width="17.81640625" style="2" customWidth="1"/>
    <col min="15329" max="15329" width="19.81640625" style="2" customWidth="1"/>
    <col min="15330" max="15330" width="11.54296875" style="2" customWidth="1"/>
    <col min="15331" max="15582" width="9.1796875" style="2"/>
    <col min="15583" max="15583" width="61.54296875" style="2" customWidth="1"/>
    <col min="15584" max="15584" width="17.81640625" style="2" customWidth="1"/>
    <col min="15585" max="15585" width="19.81640625" style="2" customWidth="1"/>
    <col min="15586" max="15586" width="11.54296875" style="2" customWidth="1"/>
    <col min="15587" max="15838" width="9.1796875" style="2"/>
    <col min="15839" max="15839" width="61.54296875" style="2" customWidth="1"/>
    <col min="15840" max="15840" width="17.81640625" style="2" customWidth="1"/>
    <col min="15841" max="15841" width="19.81640625" style="2" customWidth="1"/>
    <col min="15842" max="15842" width="11.54296875" style="2" customWidth="1"/>
    <col min="15843" max="16094" width="9.1796875" style="2"/>
    <col min="16095" max="16095" width="61.54296875" style="2" customWidth="1"/>
    <col min="16096" max="16096" width="17.81640625" style="2" customWidth="1"/>
    <col min="16097" max="16097" width="19.81640625" style="2" customWidth="1"/>
    <col min="16098" max="16098" width="11.54296875" style="2" customWidth="1"/>
    <col min="16099" max="16370" width="9.1796875" style="2"/>
    <col min="16371" max="16373" width="9.1796875" style="2" customWidth="1"/>
    <col min="16374" max="16384" width="9.1796875" style="2"/>
  </cols>
  <sheetData>
    <row r="1" spans="1:8" ht="13.25" customHeight="1" x14ac:dyDescent="0.25">
      <c r="B1" s="263"/>
      <c r="C1" s="46"/>
      <c r="D1" s="46"/>
      <c r="E1" s="46"/>
    </row>
    <row r="2" spans="1:8" x14ac:dyDescent="0.25">
      <c r="B2" s="263"/>
      <c r="C2" s="46"/>
      <c r="D2" s="46"/>
      <c r="E2" s="46"/>
    </row>
    <row r="3" spans="1:8" x14ac:dyDescent="0.25">
      <c r="B3" s="263"/>
      <c r="C3" s="46"/>
      <c r="D3" s="46"/>
      <c r="E3" s="46"/>
    </row>
    <row r="6" spans="1:8" s="6" customFormat="1" x14ac:dyDescent="0.25">
      <c r="A6" s="249" t="s">
        <v>762</v>
      </c>
      <c r="B6" s="25">
        <v>12345</v>
      </c>
      <c r="C6" s="26"/>
      <c r="D6" s="25"/>
    </row>
    <row r="7" spans="1:8" s="6" customFormat="1" ht="13" x14ac:dyDescent="0.25">
      <c r="A7" s="27" t="s">
        <v>751</v>
      </c>
      <c r="B7" s="28" t="s">
        <v>60</v>
      </c>
      <c r="C7" s="25"/>
      <c r="D7" s="29"/>
    </row>
    <row r="8" spans="1:8" x14ac:dyDescent="0.25">
      <c r="A8" s="30" t="s">
        <v>328</v>
      </c>
      <c r="B8" s="31">
        <v>206189</v>
      </c>
      <c r="C8" s="261"/>
      <c r="D8" s="261"/>
      <c r="H8" s="40"/>
    </row>
    <row r="9" spans="1:8" x14ac:dyDescent="0.25">
      <c r="A9" s="30" t="s">
        <v>329</v>
      </c>
      <c r="B9" s="31" t="s">
        <v>649</v>
      </c>
      <c r="C9" s="261"/>
      <c r="D9" s="261"/>
    </row>
    <row r="10" spans="1:8" x14ac:dyDescent="0.25">
      <c r="A10" s="30" t="s">
        <v>165</v>
      </c>
      <c r="B10" s="31" t="s">
        <v>332</v>
      </c>
      <c r="C10" s="261"/>
      <c r="D10" s="261"/>
      <c r="E10" s="6"/>
    </row>
    <row r="11" spans="1:8" x14ac:dyDescent="0.25">
      <c r="A11" s="30" t="s">
        <v>334</v>
      </c>
      <c r="B11" s="31" t="s">
        <v>333</v>
      </c>
      <c r="C11" s="261"/>
      <c r="D11" s="261"/>
      <c r="E11" s="6"/>
    </row>
    <row r="12" spans="1:8" x14ac:dyDescent="0.25">
      <c r="A12" s="30" t="s">
        <v>335</v>
      </c>
      <c r="B12" s="31">
        <v>206124</v>
      </c>
      <c r="C12" s="261"/>
      <c r="D12" s="261"/>
      <c r="E12" s="6"/>
    </row>
    <row r="13" spans="1:8" x14ac:dyDescent="0.25">
      <c r="A13" s="30" t="s">
        <v>861</v>
      </c>
      <c r="B13" s="31" t="s">
        <v>862</v>
      </c>
      <c r="C13" s="261"/>
      <c r="D13" s="261"/>
    </row>
    <row r="14" spans="1:8" x14ac:dyDescent="0.25">
      <c r="A14" s="30" t="s">
        <v>865</v>
      </c>
      <c r="B14" s="31" t="s">
        <v>866</v>
      </c>
      <c r="C14" s="261"/>
      <c r="D14" s="261"/>
      <c r="E14" s="6"/>
    </row>
    <row r="15" spans="1:8" x14ac:dyDescent="0.25">
      <c r="A15" s="30" t="s">
        <v>338</v>
      </c>
      <c r="B15" s="31">
        <v>206126</v>
      </c>
      <c r="C15" s="261"/>
      <c r="D15" s="261"/>
    </row>
    <row r="16" spans="1:8" x14ac:dyDescent="0.25">
      <c r="A16" s="30" t="s">
        <v>339</v>
      </c>
      <c r="B16" s="31">
        <v>206111</v>
      </c>
      <c r="C16" s="261"/>
      <c r="D16" s="261"/>
    </row>
    <row r="17" spans="1:5" x14ac:dyDescent="0.25">
      <c r="A17" s="30" t="s">
        <v>340</v>
      </c>
      <c r="B17" s="31">
        <v>206091</v>
      </c>
      <c r="C17" s="261"/>
      <c r="D17" s="261"/>
      <c r="E17" s="6"/>
    </row>
    <row r="18" spans="1:5" x14ac:dyDescent="0.25">
      <c r="A18" s="30" t="s">
        <v>1017</v>
      </c>
      <c r="B18" s="31" t="s">
        <v>835</v>
      </c>
      <c r="C18" s="261"/>
      <c r="D18" s="261"/>
    </row>
    <row r="19" spans="1:5" x14ac:dyDescent="0.25">
      <c r="A19" s="30" t="s">
        <v>485</v>
      </c>
      <c r="B19" s="31" t="s">
        <v>484</v>
      </c>
      <c r="C19" s="261"/>
      <c r="D19" s="261"/>
      <c r="E19" s="6"/>
    </row>
    <row r="20" spans="1:5" x14ac:dyDescent="0.25">
      <c r="A20" s="30" t="s">
        <v>341</v>
      </c>
      <c r="B20" s="31">
        <v>206128</v>
      </c>
      <c r="C20" s="261"/>
      <c r="D20" s="261"/>
      <c r="E20" s="6"/>
    </row>
    <row r="21" spans="1:5" x14ac:dyDescent="0.25">
      <c r="A21" s="30" t="s">
        <v>945</v>
      </c>
      <c r="B21" s="31" t="s">
        <v>946</v>
      </c>
      <c r="C21" s="261"/>
      <c r="D21" s="261"/>
      <c r="E21" s="6"/>
    </row>
    <row r="22" spans="1:5" x14ac:dyDescent="0.25">
      <c r="A22" s="30" t="s">
        <v>1357</v>
      </c>
      <c r="B22" s="31" t="s">
        <v>1358</v>
      </c>
      <c r="C22" s="261"/>
      <c r="D22" s="261"/>
      <c r="E22" s="6"/>
    </row>
    <row r="23" spans="1:5" x14ac:dyDescent="0.25">
      <c r="A23" s="30" t="s">
        <v>357</v>
      </c>
      <c r="B23" s="31" t="s">
        <v>356</v>
      </c>
      <c r="C23" s="261"/>
      <c r="D23" s="261"/>
      <c r="E23" s="6"/>
    </row>
    <row r="24" spans="1:5" x14ac:dyDescent="0.25">
      <c r="A24" s="30" t="s">
        <v>342</v>
      </c>
      <c r="B24" s="31">
        <v>205999</v>
      </c>
      <c r="C24" s="261"/>
      <c r="D24" s="261"/>
      <c r="E24" s="6"/>
    </row>
    <row r="25" spans="1:5" x14ac:dyDescent="0.25">
      <c r="A25" s="30" t="s">
        <v>344</v>
      </c>
      <c r="B25" s="31" t="s">
        <v>343</v>
      </c>
      <c r="C25" s="261"/>
      <c r="D25" s="261"/>
      <c r="E25" s="6"/>
    </row>
    <row r="26" spans="1:5" x14ac:dyDescent="0.25">
      <c r="A26" s="30" t="s">
        <v>346</v>
      </c>
      <c r="B26" s="31" t="s">
        <v>345</v>
      </c>
      <c r="C26" s="261"/>
      <c r="D26" s="261"/>
      <c r="E26" s="6"/>
    </row>
    <row r="27" spans="1:5" x14ac:dyDescent="0.25">
      <c r="A27" s="30" t="s">
        <v>347</v>
      </c>
      <c r="B27" s="31">
        <v>205921</v>
      </c>
      <c r="C27" s="261"/>
      <c r="D27" s="261"/>
      <c r="E27" s="6"/>
    </row>
    <row r="28" spans="1:5" x14ac:dyDescent="0.25">
      <c r="A28" s="30" t="s">
        <v>348</v>
      </c>
      <c r="B28" s="31">
        <v>206011</v>
      </c>
      <c r="C28" s="261"/>
      <c r="D28" s="261"/>
      <c r="E28" s="6"/>
    </row>
    <row r="29" spans="1:5" x14ac:dyDescent="0.25">
      <c r="A29" s="30" t="s">
        <v>349</v>
      </c>
      <c r="B29" s="31" t="s">
        <v>874</v>
      </c>
      <c r="C29" s="261"/>
      <c r="D29" s="261"/>
      <c r="E29" s="6"/>
    </row>
    <row r="30" spans="1:5" x14ac:dyDescent="0.25">
      <c r="A30" s="30" t="s">
        <v>353</v>
      </c>
      <c r="B30" s="31" t="s">
        <v>352</v>
      </c>
      <c r="C30" s="261"/>
      <c r="D30" s="261"/>
      <c r="E30" s="6"/>
    </row>
    <row r="31" spans="1:5" x14ac:dyDescent="0.25">
      <c r="A31" s="30" t="s">
        <v>355</v>
      </c>
      <c r="B31" s="31" t="s">
        <v>354</v>
      </c>
      <c r="C31" s="261"/>
      <c r="D31" s="261"/>
      <c r="E31" s="6"/>
    </row>
    <row r="32" spans="1:5" x14ac:dyDescent="0.25">
      <c r="A32" s="30" t="s">
        <v>358</v>
      </c>
      <c r="B32" s="31">
        <v>2549324</v>
      </c>
      <c r="C32" s="261"/>
      <c r="D32" s="261"/>
      <c r="E32" s="6"/>
    </row>
    <row r="33" spans="1:5" x14ac:dyDescent="0.25">
      <c r="A33" s="30" t="s">
        <v>1049</v>
      </c>
      <c r="B33" s="31" t="s">
        <v>552</v>
      </c>
      <c r="C33" s="261"/>
      <c r="D33" s="261"/>
      <c r="E33" s="6"/>
    </row>
    <row r="34" spans="1:5" x14ac:dyDescent="0.25">
      <c r="A34" s="30" t="s">
        <v>361</v>
      </c>
      <c r="B34" s="31">
        <v>2519477</v>
      </c>
      <c r="C34" s="261"/>
      <c r="D34" s="261"/>
      <c r="E34" s="6"/>
    </row>
    <row r="35" spans="1:5" x14ac:dyDescent="0.25">
      <c r="A35" s="30" t="s">
        <v>879</v>
      </c>
      <c r="B35" s="31" t="s">
        <v>880</v>
      </c>
      <c r="C35" s="261"/>
      <c r="D35" s="261"/>
      <c r="E35" s="6"/>
    </row>
    <row r="36" spans="1:5" x14ac:dyDescent="0.25">
      <c r="A36" s="30" t="s">
        <v>1018</v>
      </c>
      <c r="B36" s="31" t="s">
        <v>1332</v>
      </c>
      <c r="C36" s="261"/>
      <c r="D36" s="261"/>
      <c r="E36" s="6"/>
    </row>
    <row r="37" spans="1:5" x14ac:dyDescent="0.25">
      <c r="A37" s="30" t="s">
        <v>1331</v>
      </c>
      <c r="B37" s="31" t="s">
        <v>1332</v>
      </c>
      <c r="C37" s="261"/>
      <c r="D37" s="261"/>
      <c r="E37" s="6"/>
    </row>
    <row r="38" spans="1:5" x14ac:dyDescent="0.25">
      <c r="A38" s="30" t="s">
        <v>365</v>
      </c>
      <c r="B38" s="31" t="s">
        <v>364</v>
      </c>
      <c r="C38" s="261"/>
      <c r="D38" s="261"/>
      <c r="E38" s="6"/>
    </row>
    <row r="39" spans="1:5" x14ac:dyDescent="0.25">
      <c r="A39" s="30" t="s">
        <v>1363</v>
      </c>
      <c r="B39" s="31" t="s">
        <v>1364</v>
      </c>
      <c r="C39" s="261"/>
      <c r="D39" s="261"/>
      <c r="E39" s="6"/>
    </row>
    <row r="40" spans="1:5" x14ac:dyDescent="0.25">
      <c r="A40" s="30" t="s">
        <v>1368</v>
      </c>
      <c r="B40" s="31" t="s">
        <v>884</v>
      </c>
      <c r="C40" s="261"/>
      <c r="D40" s="261"/>
      <c r="E40" s="6"/>
    </row>
    <row r="41" spans="1:5" x14ac:dyDescent="0.25">
      <c r="A41" s="30" t="s">
        <v>366</v>
      </c>
      <c r="B41" s="31">
        <v>205852</v>
      </c>
      <c r="C41" s="261"/>
      <c r="D41" s="261"/>
      <c r="E41" s="6"/>
    </row>
    <row r="42" spans="1:5" x14ac:dyDescent="0.25">
      <c r="A42" s="30" t="s">
        <v>367</v>
      </c>
      <c r="B42" s="31" t="s">
        <v>1037</v>
      </c>
      <c r="C42" s="261"/>
      <c r="D42" s="261"/>
      <c r="E42" s="6"/>
    </row>
    <row r="43" spans="1:5" x14ac:dyDescent="0.25">
      <c r="A43" s="30" t="s">
        <v>368</v>
      </c>
      <c r="B43" s="31">
        <v>205922</v>
      </c>
      <c r="C43" s="261"/>
      <c r="D43" s="261"/>
      <c r="E43" s="6"/>
    </row>
    <row r="44" spans="1:5" x14ac:dyDescent="0.25">
      <c r="A44" s="30" t="s">
        <v>370</v>
      </c>
      <c r="B44" s="31" t="s">
        <v>369</v>
      </c>
      <c r="C44" s="261"/>
      <c r="D44" s="261"/>
      <c r="E44" s="6"/>
    </row>
    <row r="45" spans="1:5" x14ac:dyDescent="0.25">
      <c r="A45" s="30" t="s">
        <v>372</v>
      </c>
      <c r="B45" s="31" t="s">
        <v>371</v>
      </c>
      <c r="C45" s="261"/>
      <c r="D45" s="261"/>
      <c r="E45" s="6"/>
    </row>
    <row r="46" spans="1:5" x14ac:dyDescent="0.25">
      <c r="A46" s="30" t="s">
        <v>373</v>
      </c>
      <c r="B46" s="31">
        <v>205947</v>
      </c>
      <c r="C46" s="261"/>
      <c r="D46" s="261"/>
      <c r="E46" s="6"/>
    </row>
    <row r="47" spans="1:5" x14ac:dyDescent="0.25">
      <c r="A47" s="30" t="s">
        <v>889</v>
      </c>
      <c r="B47" s="31" t="s">
        <v>890</v>
      </c>
      <c r="C47" s="261"/>
      <c r="D47" s="261"/>
      <c r="E47" s="6"/>
    </row>
    <row r="48" spans="1:5" x14ac:dyDescent="0.25">
      <c r="A48" s="30" t="s">
        <v>374</v>
      </c>
      <c r="B48" s="31" t="s">
        <v>893</v>
      </c>
      <c r="C48" s="261"/>
      <c r="D48" s="261"/>
      <c r="E48" s="6"/>
    </row>
    <row r="49" spans="1:5" x14ac:dyDescent="0.25">
      <c r="A49" s="30" t="s">
        <v>376</v>
      </c>
      <c r="B49" s="31" t="s">
        <v>375</v>
      </c>
      <c r="C49" s="261"/>
      <c r="D49" s="261"/>
      <c r="E49" s="6"/>
    </row>
    <row r="50" spans="1:5" x14ac:dyDescent="0.25">
      <c r="A50" s="30" t="s">
        <v>1334</v>
      </c>
      <c r="B50" s="31" t="s">
        <v>1039</v>
      </c>
      <c r="C50" s="261"/>
      <c r="D50" s="261"/>
      <c r="E50" s="6"/>
    </row>
    <row r="51" spans="1:5" x14ac:dyDescent="0.25">
      <c r="A51" s="30" t="s">
        <v>1051</v>
      </c>
      <c r="B51" s="31">
        <v>206103</v>
      </c>
      <c r="C51" s="261"/>
      <c r="D51" s="261"/>
      <c r="E51" s="6"/>
    </row>
    <row r="52" spans="1:5" x14ac:dyDescent="0.25">
      <c r="A52" s="30" t="s">
        <v>1038</v>
      </c>
      <c r="B52" s="31" t="s">
        <v>1039</v>
      </c>
      <c r="C52" s="261"/>
      <c r="D52" s="261"/>
      <c r="E52" s="6"/>
    </row>
    <row r="53" spans="1:5" x14ac:dyDescent="0.25">
      <c r="A53" s="30" t="s">
        <v>1052</v>
      </c>
      <c r="B53" s="31" t="s">
        <v>379</v>
      </c>
      <c r="C53" s="261"/>
      <c r="D53" s="261"/>
      <c r="E53" s="6"/>
    </row>
    <row r="54" spans="1:5" x14ac:dyDescent="0.25">
      <c r="A54" s="30" t="s">
        <v>380</v>
      </c>
      <c r="B54" s="31" t="s">
        <v>379</v>
      </c>
      <c r="C54" s="261"/>
      <c r="D54" s="261"/>
      <c r="E54" s="6"/>
    </row>
    <row r="55" spans="1:5" x14ac:dyDescent="0.25">
      <c r="A55" s="30" t="s">
        <v>1052</v>
      </c>
      <c r="B55" s="31">
        <v>2614882</v>
      </c>
      <c r="C55" s="261"/>
      <c r="D55" s="261"/>
      <c r="E55" s="6"/>
    </row>
    <row r="56" spans="1:5" x14ac:dyDescent="0.25">
      <c r="A56" s="30" t="s">
        <v>383</v>
      </c>
      <c r="B56" s="31" t="s">
        <v>382</v>
      </c>
      <c r="C56" s="261"/>
      <c r="D56" s="261"/>
      <c r="E56" s="6"/>
    </row>
    <row r="57" spans="1:5" x14ac:dyDescent="0.25">
      <c r="A57" s="30" t="s">
        <v>385</v>
      </c>
      <c r="B57" s="31" t="s">
        <v>384</v>
      </c>
      <c r="C57" s="261"/>
      <c r="D57" s="261"/>
      <c r="E57" s="6"/>
    </row>
    <row r="58" spans="1:5" x14ac:dyDescent="0.25">
      <c r="A58" s="30" t="s">
        <v>1020</v>
      </c>
      <c r="B58" s="31" t="s">
        <v>1021</v>
      </c>
      <c r="C58" s="261"/>
      <c r="D58" s="261"/>
      <c r="E58" s="6"/>
    </row>
    <row r="59" spans="1:5" x14ac:dyDescent="0.25">
      <c r="A59" s="30" t="s">
        <v>387</v>
      </c>
      <c r="B59" s="31" t="s">
        <v>386</v>
      </c>
      <c r="C59" s="261"/>
      <c r="D59" s="261"/>
      <c r="E59" s="6"/>
    </row>
    <row r="60" spans="1:5" x14ac:dyDescent="0.25">
      <c r="A60" s="30" t="s">
        <v>755</v>
      </c>
      <c r="B60" s="31" t="s">
        <v>898</v>
      </c>
      <c r="C60" s="261"/>
      <c r="D60" s="261"/>
      <c r="E60" s="6"/>
    </row>
    <row r="61" spans="1:5" x14ac:dyDescent="0.25">
      <c r="A61" s="30" t="s">
        <v>754</v>
      </c>
      <c r="B61" s="31" t="s">
        <v>899</v>
      </c>
      <c r="C61" s="261"/>
      <c r="D61" s="261"/>
      <c r="E61" s="6"/>
    </row>
    <row r="62" spans="1:5" x14ac:dyDescent="0.25">
      <c r="A62" s="30" t="s">
        <v>390</v>
      </c>
      <c r="B62" s="31">
        <v>639307</v>
      </c>
      <c r="C62" s="261"/>
      <c r="D62" s="261"/>
      <c r="E62" s="6"/>
    </row>
    <row r="63" spans="1:5" x14ac:dyDescent="0.25">
      <c r="A63" s="30" t="s">
        <v>391</v>
      </c>
      <c r="B63" s="31" t="s">
        <v>901</v>
      </c>
      <c r="C63" s="261"/>
      <c r="D63" s="261"/>
      <c r="E63" s="6"/>
    </row>
    <row r="64" spans="1:5" x14ac:dyDescent="0.25">
      <c r="A64" s="30" t="s">
        <v>392</v>
      </c>
      <c r="B64" s="31" t="s">
        <v>902</v>
      </c>
      <c r="C64" s="261"/>
      <c r="D64" s="261"/>
      <c r="E64" s="6"/>
    </row>
    <row r="65" spans="1:5" x14ac:dyDescent="0.25">
      <c r="A65" s="30" t="s">
        <v>393</v>
      </c>
      <c r="B65" s="31">
        <v>2559906</v>
      </c>
      <c r="C65" s="261"/>
      <c r="D65" s="261"/>
      <c r="E65" s="6"/>
    </row>
    <row r="66" spans="1:5" x14ac:dyDescent="0.25">
      <c r="A66" s="30" t="s">
        <v>398</v>
      </c>
      <c r="B66" s="31" t="s">
        <v>397</v>
      </c>
      <c r="C66" s="261"/>
      <c r="D66" s="261"/>
      <c r="E66" s="6"/>
    </row>
    <row r="67" spans="1:5" x14ac:dyDescent="0.25">
      <c r="A67" s="30" t="s">
        <v>400</v>
      </c>
      <c r="B67" s="31" t="s">
        <v>399</v>
      </c>
      <c r="C67" s="261"/>
      <c r="D67" s="261"/>
      <c r="E67" s="6"/>
    </row>
    <row r="68" spans="1:5" x14ac:dyDescent="0.25">
      <c r="A68" s="30" t="s">
        <v>401</v>
      </c>
      <c r="B68" s="31">
        <v>205881</v>
      </c>
      <c r="C68" s="261"/>
      <c r="D68" s="261"/>
      <c r="E68" s="6"/>
    </row>
    <row r="69" spans="1:5" x14ac:dyDescent="0.25">
      <c r="A69" s="30" t="s">
        <v>403</v>
      </c>
      <c r="B69" s="31" t="s">
        <v>402</v>
      </c>
      <c r="C69" s="261"/>
      <c r="D69" s="261"/>
      <c r="E69" s="6"/>
    </row>
    <row r="70" spans="1:5" x14ac:dyDescent="0.25">
      <c r="A70" s="30" t="s">
        <v>405</v>
      </c>
      <c r="B70" s="31" t="s">
        <v>404</v>
      </c>
      <c r="C70" s="261"/>
      <c r="D70" s="261"/>
      <c r="E70" s="6"/>
    </row>
    <row r="71" spans="1:5" x14ac:dyDescent="0.25">
      <c r="A71" s="30" t="s">
        <v>407</v>
      </c>
      <c r="B71" s="31" t="s">
        <v>406</v>
      </c>
      <c r="C71" s="261"/>
      <c r="D71" s="261"/>
      <c r="E71" s="6"/>
    </row>
    <row r="72" spans="1:5" x14ac:dyDescent="0.25">
      <c r="A72" s="30" t="s">
        <v>408</v>
      </c>
      <c r="B72" s="31" t="s">
        <v>1335</v>
      </c>
      <c r="C72" s="261"/>
      <c r="D72" s="261"/>
      <c r="E72" s="6"/>
    </row>
    <row r="73" spans="1:5" x14ac:dyDescent="0.25">
      <c r="A73" s="30" t="s">
        <v>1023</v>
      </c>
      <c r="B73" s="31" t="s">
        <v>1024</v>
      </c>
      <c r="C73" s="261"/>
      <c r="D73" s="261"/>
      <c r="E73" s="6"/>
    </row>
    <row r="74" spans="1:5" x14ac:dyDescent="0.25">
      <c r="A74" s="30" t="s">
        <v>410</v>
      </c>
      <c r="B74" s="31" t="s">
        <v>409</v>
      </c>
      <c r="C74" s="261"/>
      <c r="D74" s="261"/>
      <c r="E74" s="6"/>
    </row>
    <row r="75" spans="1:5" x14ac:dyDescent="0.25">
      <c r="A75" s="30" t="s">
        <v>1337</v>
      </c>
      <c r="B75" s="31" t="s">
        <v>1338</v>
      </c>
      <c r="C75" s="261"/>
      <c r="D75" s="261"/>
      <c r="E75" s="6"/>
    </row>
    <row r="76" spans="1:5" x14ac:dyDescent="0.25">
      <c r="A76" s="30" t="s">
        <v>1025</v>
      </c>
      <c r="B76" s="31" t="s">
        <v>1359</v>
      </c>
      <c r="C76" s="261"/>
      <c r="D76" s="261"/>
      <c r="E76" s="6"/>
    </row>
    <row r="77" spans="1:5" x14ac:dyDescent="0.25">
      <c r="A77" s="30" t="s">
        <v>411</v>
      </c>
      <c r="B77" s="31" t="s">
        <v>1042</v>
      </c>
      <c r="C77" s="261"/>
      <c r="D77" s="261"/>
      <c r="E77" s="6"/>
    </row>
    <row r="78" spans="1:5" x14ac:dyDescent="0.25">
      <c r="A78" s="30" t="s">
        <v>416</v>
      </c>
      <c r="B78" s="31" t="s">
        <v>913</v>
      </c>
      <c r="C78" s="261"/>
      <c r="D78" s="261"/>
      <c r="E78" s="6"/>
    </row>
    <row r="79" spans="1:5" x14ac:dyDescent="0.25">
      <c r="A79" s="30" t="s">
        <v>418</v>
      </c>
      <c r="B79" s="31" t="s">
        <v>1360</v>
      </c>
      <c r="C79" s="261"/>
      <c r="D79" s="261"/>
      <c r="E79" s="6"/>
    </row>
    <row r="80" spans="1:5" x14ac:dyDescent="0.25">
      <c r="A80" s="30" t="s">
        <v>421</v>
      </c>
      <c r="B80" s="31">
        <v>205878</v>
      </c>
      <c r="C80" s="261"/>
      <c r="D80" s="261"/>
      <c r="E80" s="6"/>
    </row>
    <row r="81" spans="1:5" x14ac:dyDescent="0.25">
      <c r="A81" s="30" t="s">
        <v>426</v>
      </c>
      <c r="B81" s="31" t="s">
        <v>921</v>
      </c>
      <c r="C81" s="261"/>
      <c r="D81" s="261"/>
      <c r="E81" s="6"/>
    </row>
    <row r="82" spans="1:5" x14ac:dyDescent="0.25">
      <c r="A82" s="30" t="s">
        <v>917</v>
      </c>
      <c r="B82" s="31" t="s">
        <v>918</v>
      </c>
      <c r="C82" s="261"/>
      <c r="D82" s="261"/>
      <c r="E82" s="6"/>
    </row>
    <row r="83" spans="1:5" x14ac:dyDescent="0.25">
      <c r="A83" s="30" t="s">
        <v>423</v>
      </c>
      <c r="B83" s="31" t="s">
        <v>422</v>
      </c>
      <c r="C83" s="261"/>
      <c r="D83" s="261"/>
      <c r="E83" s="6"/>
    </row>
    <row r="84" spans="1:5" x14ac:dyDescent="0.25">
      <c r="A84" s="30" t="s">
        <v>427</v>
      </c>
      <c r="B84" s="31" t="s">
        <v>679</v>
      </c>
      <c r="C84" s="261"/>
      <c r="D84" s="261"/>
      <c r="E84" s="6"/>
    </row>
    <row r="85" spans="1:5" x14ac:dyDescent="0.25">
      <c r="A85" s="30" t="s">
        <v>425</v>
      </c>
      <c r="B85" s="31" t="s">
        <v>424</v>
      </c>
      <c r="C85" s="261"/>
      <c r="D85" s="261"/>
      <c r="E85" s="6"/>
    </row>
    <row r="86" spans="1:5" x14ac:dyDescent="0.25">
      <c r="A86" s="30" t="s">
        <v>431</v>
      </c>
      <c r="B86" s="31" t="s">
        <v>430</v>
      </c>
      <c r="C86" s="261"/>
      <c r="D86" s="261"/>
      <c r="E86" s="6"/>
    </row>
    <row r="87" spans="1:5" x14ac:dyDescent="0.25">
      <c r="A87" s="30" t="s">
        <v>433</v>
      </c>
      <c r="B87" s="31" t="s">
        <v>432</v>
      </c>
      <c r="C87" s="261"/>
      <c r="D87" s="261"/>
      <c r="E87" s="6"/>
    </row>
    <row r="88" spans="1:5" x14ac:dyDescent="0.25">
      <c r="A88" s="30" t="s">
        <v>435</v>
      </c>
      <c r="B88" s="31" t="s">
        <v>681</v>
      </c>
      <c r="C88" s="261"/>
      <c r="D88" s="261"/>
      <c r="E88" s="6"/>
    </row>
    <row r="89" spans="1:5" x14ac:dyDescent="0.25">
      <c r="A89" s="30" t="s">
        <v>437</v>
      </c>
      <c r="B89" s="31" t="s">
        <v>436</v>
      </c>
      <c r="C89" s="261"/>
      <c r="D89" s="261"/>
      <c r="E89" s="6"/>
    </row>
    <row r="90" spans="1:5" x14ac:dyDescent="0.25">
      <c r="A90" s="30" t="s">
        <v>441</v>
      </c>
      <c r="B90" s="31" t="s">
        <v>440</v>
      </c>
      <c r="C90" s="261"/>
      <c r="D90" s="261"/>
      <c r="E90" s="6"/>
    </row>
    <row r="91" spans="1:5" x14ac:dyDescent="0.25">
      <c r="A91" s="30" t="s">
        <v>443</v>
      </c>
      <c r="B91" s="31" t="s">
        <v>442</v>
      </c>
      <c r="C91" s="261"/>
      <c r="D91" s="261"/>
      <c r="E91" s="6"/>
    </row>
    <row r="92" spans="1:5" x14ac:dyDescent="0.25">
      <c r="A92" s="30" t="s">
        <v>445</v>
      </c>
      <c r="B92" s="31" t="s">
        <v>444</v>
      </c>
      <c r="C92" s="261"/>
      <c r="D92" s="261"/>
      <c r="E92" s="6"/>
    </row>
    <row r="93" spans="1:5" x14ac:dyDescent="0.25">
      <c r="A93" s="30" t="s">
        <v>446</v>
      </c>
      <c r="B93" s="31">
        <v>206046</v>
      </c>
      <c r="C93" s="261"/>
      <c r="D93" s="261"/>
      <c r="E93" s="6"/>
    </row>
    <row r="94" spans="1:5" x14ac:dyDescent="0.25">
      <c r="A94" s="30" t="s">
        <v>448</v>
      </c>
      <c r="B94" s="31" t="s">
        <v>929</v>
      </c>
      <c r="C94" s="261"/>
      <c r="D94" s="261"/>
      <c r="E94" s="6"/>
    </row>
    <row r="95" spans="1:5" x14ac:dyDescent="0.25">
      <c r="A95" s="30" t="s">
        <v>450</v>
      </c>
      <c r="B95" s="31" t="s">
        <v>449</v>
      </c>
      <c r="C95" s="261"/>
      <c r="D95" s="261"/>
      <c r="E95" s="6"/>
    </row>
    <row r="96" spans="1:5" x14ac:dyDescent="0.25">
      <c r="A96" s="30" t="s">
        <v>1043</v>
      </c>
      <c r="B96" s="31" t="s">
        <v>1365</v>
      </c>
      <c r="C96" s="261"/>
      <c r="D96" s="261"/>
      <c r="E96" s="6"/>
    </row>
    <row r="97" spans="1:5" x14ac:dyDescent="0.25">
      <c r="A97" s="30" t="s">
        <v>454</v>
      </c>
      <c r="B97" s="31">
        <v>205978</v>
      </c>
      <c r="C97" s="261"/>
      <c r="D97" s="261"/>
      <c r="E97" s="6"/>
    </row>
    <row r="98" spans="1:5" x14ac:dyDescent="0.25">
      <c r="A98" s="30" t="s">
        <v>1044</v>
      </c>
      <c r="B98" s="31" t="s">
        <v>1369</v>
      </c>
      <c r="C98" s="261"/>
      <c r="D98" s="261"/>
      <c r="E98" s="6"/>
    </row>
    <row r="99" spans="1:5" x14ac:dyDescent="0.25">
      <c r="A99" s="30" t="s">
        <v>1053</v>
      </c>
      <c r="B99" s="31" t="s">
        <v>556</v>
      </c>
      <c r="C99" s="261"/>
      <c r="D99" s="261"/>
      <c r="E99" s="6"/>
    </row>
    <row r="100" spans="1:5" x14ac:dyDescent="0.25">
      <c r="A100" s="30" t="s">
        <v>458</v>
      </c>
      <c r="B100" s="31">
        <v>206043</v>
      </c>
      <c r="C100" s="261"/>
      <c r="D100" s="261"/>
      <c r="E100" s="6"/>
    </row>
    <row r="101" spans="1:5" x14ac:dyDescent="0.25">
      <c r="A101" s="30" t="s">
        <v>1054</v>
      </c>
      <c r="B101" s="31" t="s">
        <v>521</v>
      </c>
      <c r="C101" s="261"/>
      <c r="D101" s="261"/>
      <c r="E101" s="6"/>
    </row>
    <row r="102" spans="1:5" x14ac:dyDescent="0.25">
      <c r="A102" s="30" t="s">
        <v>457</v>
      </c>
      <c r="B102" s="31" t="s">
        <v>934</v>
      </c>
      <c r="C102" s="261"/>
      <c r="D102" s="261"/>
      <c r="E102" s="6"/>
    </row>
    <row r="103" spans="1:5" x14ac:dyDescent="0.25">
      <c r="A103" s="30" t="s">
        <v>460</v>
      </c>
      <c r="B103" s="31" t="s">
        <v>459</v>
      </c>
      <c r="C103" s="261"/>
      <c r="D103" s="261"/>
      <c r="E103" s="6"/>
    </row>
    <row r="104" spans="1:5" x14ac:dyDescent="0.25">
      <c r="A104" s="30" t="s">
        <v>461</v>
      </c>
      <c r="B104" s="31" t="s">
        <v>1055</v>
      </c>
      <c r="C104" s="261"/>
      <c r="D104" s="261"/>
      <c r="E104" s="6"/>
    </row>
    <row r="105" spans="1:5" x14ac:dyDescent="0.25">
      <c r="A105" s="30" t="s">
        <v>463</v>
      </c>
      <c r="B105" s="31" t="s">
        <v>462</v>
      </c>
      <c r="C105" s="261"/>
      <c r="D105" s="261"/>
      <c r="E105" s="6"/>
    </row>
    <row r="106" spans="1:5" x14ac:dyDescent="0.25">
      <c r="A106" s="30" t="s">
        <v>465</v>
      </c>
      <c r="B106" s="31" t="s">
        <v>464</v>
      </c>
      <c r="C106" s="261"/>
      <c r="D106" s="261"/>
      <c r="E106" s="6"/>
    </row>
    <row r="107" spans="1:5" x14ac:dyDescent="0.25">
      <c r="A107" s="30" t="s">
        <v>467</v>
      </c>
      <c r="B107" s="31" t="s">
        <v>466</v>
      </c>
      <c r="C107" s="261"/>
      <c r="D107" s="261"/>
      <c r="E107" s="6"/>
    </row>
    <row r="108" spans="1:5" x14ac:dyDescent="0.25">
      <c r="A108" s="30" t="s">
        <v>469</v>
      </c>
      <c r="B108" s="31" t="s">
        <v>468</v>
      </c>
      <c r="C108" s="261"/>
      <c r="D108" s="261"/>
      <c r="E108" s="6"/>
    </row>
    <row r="109" spans="1:5" x14ac:dyDescent="0.25">
      <c r="A109" s="30" t="s">
        <v>471</v>
      </c>
      <c r="B109" s="31" t="s">
        <v>470</v>
      </c>
      <c r="C109" s="261"/>
      <c r="D109" s="261"/>
      <c r="E109" s="6"/>
    </row>
    <row r="110" spans="1:5" x14ac:dyDescent="0.25">
      <c r="A110" s="30" t="s">
        <v>473</v>
      </c>
      <c r="B110" s="31" t="s">
        <v>472</v>
      </c>
      <c r="C110" s="261"/>
      <c r="D110" s="261"/>
      <c r="E110" s="6"/>
    </row>
    <row r="111" spans="1:5" x14ac:dyDescent="0.25">
      <c r="A111" s="30" t="s">
        <v>475</v>
      </c>
      <c r="B111" s="31" t="s">
        <v>474</v>
      </c>
      <c r="C111" s="261"/>
      <c r="D111" s="261"/>
      <c r="E111" s="6"/>
    </row>
    <row r="112" spans="1:5" x14ac:dyDescent="0.25">
      <c r="A112" s="30" t="s">
        <v>477</v>
      </c>
      <c r="B112" s="31" t="s">
        <v>476</v>
      </c>
      <c r="C112" s="261"/>
      <c r="D112" s="261"/>
      <c r="E112" s="6"/>
    </row>
    <row r="113" spans="1:5" x14ac:dyDescent="0.25">
      <c r="A113" s="30" t="s">
        <v>883</v>
      </c>
      <c r="B113" s="31" t="s">
        <v>884</v>
      </c>
      <c r="C113" s="261"/>
      <c r="D113" s="261"/>
      <c r="E113" s="6"/>
    </row>
    <row r="114" spans="1:5" x14ac:dyDescent="0.25">
      <c r="A114" s="30" t="s">
        <v>904</v>
      </c>
      <c r="B114" s="31" t="s">
        <v>905</v>
      </c>
      <c r="C114" s="261"/>
      <c r="D114" s="261"/>
      <c r="E114" s="6"/>
    </row>
    <row r="115" spans="1:5" x14ac:dyDescent="0.25">
      <c r="A115" s="30" t="s">
        <v>1040</v>
      </c>
      <c r="B115" s="31" t="s">
        <v>1041</v>
      </c>
      <c r="C115" s="261"/>
      <c r="D115" s="261"/>
      <c r="E115" s="6"/>
    </row>
    <row r="116" spans="1:5" x14ac:dyDescent="0.25">
      <c r="A116" s="30" t="s">
        <v>915</v>
      </c>
      <c r="B116" s="31" t="s">
        <v>916</v>
      </c>
      <c r="C116" s="261"/>
      <c r="D116" s="261"/>
      <c r="E116" s="6"/>
    </row>
    <row r="117" spans="1:5" x14ac:dyDescent="0.25">
      <c r="A117" s="30" t="s">
        <v>932</v>
      </c>
      <c r="B117" s="31" t="s">
        <v>933</v>
      </c>
      <c r="C117" s="261"/>
      <c r="D117" s="261"/>
      <c r="E117" s="6"/>
    </row>
    <row r="118" spans="1:5" x14ac:dyDescent="0.25">
      <c r="A118" s="30" t="s">
        <v>479</v>
      </c>
      <c r="B118" s="31" t="s">
        <v>478</v>
      </c>
      <c r="C118" s="261"/>
      <c r="D118" s="261"/>
      <c r="E118" s="6"/>
    </row>
    <row r="119" spans="1:5" x14ac:dyDescent="0.25">
      <c r="A119" s="30" t="s">
        <v>481</v>
      </c>
      <c r="B119" s="31" t="s">
        <v>480</v>
      </c>
      <c r="C119" s="261"/>
      <c r="D119" s="261"/>
      <c r="E119" s="6"/>
    </row>
    <row r="120" spans="1:5" x14ac:dyDescent="0.25">
      <c r="A120" s="30" t="s">
        <v>483</v>
      </c>
      <c r="B120" s="31" t="s">
        <v>482</v>
      </c>
      <c r="C120" s="261"/>
      <c r="D120" s="261"/>
      <c r="E120" s="6"/>
    </row>
    <row r="121" spans="1:5" x14ac:dyDescent="0.25">
      <c r="A121" s="30" t="s">
        <v>489</v>
      </c>
      <c r="B121" s="31" t="s">
        <v>488</v>
      </c>
      <c r="C121" s="261"/>
      <c r="D121" s="261"/>
      <c r="E121" s="6"/>
    </row>
    <row r="122" spans="1:5" x14ac:dyDescent="0.25">
      <c r="A122" s="30" t="s">
        <v>491</v>
      </c>
      <c r="B122" s="31" t="s">
        <v>490</v>
      </c>
      <c r="C122" s="261"/>
      <c r="D122" s="261"/>
      <c r="E122" s="6"/>
    </row>
    <row r="123" spans="1:5" x14ac:dyDescent="0.25">
      <c r="A123" s="30" t="s">
        <v>492</v>
      </c>
      <c r="B123" s="31">
        <v>206106</v>
      </c>
      <c r="C123" s="261"/>
      <c r="D123" s="261"/>
      <c r="E123" s="6"/>
    </row>
    <row r="124" spans="1:5" x14ac:dyDescent="0.25">
      <c r="A124" s="30" t="s">
        <v>496</v>
      </c>
      <c r="B124" s="31" t="s">
        <v>495</v>
      </c>
      <c r="C124" s="261"/>
      <c r="D124" s="261"/>
      <c r="E124" s="6"/>
    </row>
    <row r="125" spans="1:5" x14ac:dyDescent="0.25">
      <c r="A125" s="30" t="s">
        <v>498</v>
      </c>
      <c r="B125" s="31" t="s">
        <v>497</v>
      </c>
      <c r="C125" s="261"/>
      <c r="D125" s="261"/>
      <c r="E125" s="6"/>
    </row>
    <row r="126" spans="1:5" x14ac:dyDescent="0.25">
      <c r="A126" s="30" t="s">
        <v>500</v>
      </c>
      <c r="B126" s="31" t="s">
        <v>499</v>
      </c>
      <c r="C126" s="261"/>
      <c r="D126" s="261"/>
      <c r="E126" s="6"/>
    </row>
    <row r="127" spans="1:5" x14ac:dyDescent="0.25">
      <c r="A127" s="30" t="s">
        <v>957</v>
      </c>
      <c r="B127" s="31" t="s">
        <v>958</v>
      </c>
      <c r="C127" s="261"/>
      <c r="D127" s="261"/>
      <c r="E127" s="6"/>
    </row>
    <row r="128" spans="1:5" x14ac:dyDescent="0.25">
      <c r="A128" s="30" t="s">
        <v>1028</v>
      </c>
      <c r="B128" s="31" t="s">
        <v>1340</v>
      </c>
      <c r="C128" s="261"/>
      <c r="D128" s="261"/>
      <c r="E128" s="6"/>
    </row>
    <row r="129" spans="1:5" x14ac:dyDescent="0.25">
      <c r="A129" s="30" t="s">
        <v>1027</v>
      </c>
      <c r="B129" s="31" t="s">
        <v>1339</v>
      </c>
      <c r="C129" s="261"/>
      <c r="D129" s="261"/>
      <c r="E129" s="6"/>
    </row>
    <row r="130" spans="1:5" x14ac:dyDescent="0.25">
      <c r="A130" s="30" t="s">
        <v>501</v>
      </c>
      <c r="B130" s="31">
        <v>206134</v>
      </c>
      <c r="C130" s="261"/>
      <c r="D130" s="261"/>
      <c r="E130" s="6"/>
    </row>
    <row r="131" spans="1:5" x14ac:dyDescent="0.25">
      <c r="A131" s="30" t="s">
        <v>960</v>
      </c>
      <c r="B131" s="31" t="s">
        <v>961</v>
      </c>
      <c r="C131" s="261"/>
      <c r="D131" s="261"/>
      <c r="E131" s="6"/>
    </row>
    <row r="132" spans="1:5" x14ac:dyDescent="0.25">
      <c r="A132" s="30" t="s">
        <v>504</v>
      </c>
      <c r="B132" s="31">
        <v>206109</v>
      </c>
      <c r="C132" s="261"/>
      <c r="D132" s="261"/>
      <c r="E132" s="6"/>
    </row>
    <row r="133" spans="1:5" x14ac:dyDescent="0.25">
      <c r="A133" s="30" t="s">
        <v>514</v>
      </c>
      <c r="B133" s="31" t="s">
        <v>513</v>
      </c>
      <c r="C133" s="261"/>
      <c r="D133" s="261"/>
      <c r="E133" s="6"/>
    </row>
    <row r="134" spans="1:5" x14ac:dyDescent="0.25">
      <c r="A134" s="30" t="s">
        <v>1341</v>
      </c>
      <c r="B134" s="31" t="s">
        <v>1342</v>
      </c>
      <c r="C134" s="261"/>
      <c r="D134" s="261"/>
      <c r="E134" s="6"/>
    </row>
    <row r="135" spans="1:5" x14ac:dyDescent="0.25">
      <c r="A135" s="30" t="s">
        <v>507</v>
      </c>
      <c r="B135" s="31" t="s">
        <v>506</v>
      </c>
      <c r="C135" s="261"/>
      <c r="D135" s="261"/>
      <c r="E135" s="6"/>
    </row>
    <row r="136" spans="1:5" x14ac:dyDescent="0.25">
      <c r="A136" s="30" t="s">
        <v>509</v>
      </c>
      <c r="B136" s="31" t="s">
        <v>508</v>
      </c>
      <c r="C136" s="261"/>
      <c r="D136" s="261"/>
      <c r="E136" s="6"/>
    </row>
    <row r="137" spans="1:5" x14ac:dyDescent="0.25">
      <c r="A137" s="30" t="s">
        <v>966</v>
      </c>
      <c r="B137" s="31" t="s">
        <v>967</v>
      </c>
      <c r="C137" s="261"/>
      <c r="D137" s="261"/>
      <c r="E137" s="6"/>
    </row>
    <row r="138" spans="1:5" x14ac:dyDescent="0.25">
      <c r="A138" s="30" t="s">
        <v>511</v>
      </c>
      <c r="B138" s="31" t="s">
        <v>510</v>
      </c>
      <c r="C138" s="261"/>
      <c r="D138" s="261"/>
      <c r="E138" s="6"/>
    </row>
    <row r="139" spans="1:5" x14ac:dyDescent="0.25">
      <c r="A139" s="30" t="s">
        <v>512</v>
      </c>
      <c r="B139" s="31">
        <v>509197</v>
      </c>
      <c r="C139" s="261"/>
      <c r="D139" s="261"/>
      <c r="E139" s="6"/>
    </row>
    <row r="140" spans="1:5" x14ac:dyDescent="0.25">
      <c r="A140" s="30" t="s">
        <v>970</v>
      </c>
      <c r="B140" s="31" t="s">
        <v>971</v>
      </c>
      <c r="C140" s="261"/>
      <c r="D140" s="261"/>
      <c r="E140" s="6"/>
    </row>
    <row r="141" spans="1:5" x14ac:dyDescent="0.25">
      <c r="A141" s="30" t="s">
        <v>516</v>
      </c>
      <c r="B141" s="31" t="s">
        <v>515</v>
      </c>
      <c r="C141" s="261"/>
      <c r="D141" s="261"/>
      <c r="E141" s="6"/>
    </row>
    <row r="142" spans="1:5" x14ac:dyDescent="0.25">
      <c r="A142" s="30" t="s">
        <v>517</v>
      </c>
      <c r="B142" s="31">
        <v>206117</v>
      </c>
      <c r="C142" s="261"/>
      <c r="D142" s="261"/>
      <c r="E142" s="6"/>
    </row>
    <row r="143" spans="1:5" x14ac:dyDescent="0.25">
      <c r="A143" s="30" t="s">
        <v>518</v>
      </c>
      <c r="B143" s="31">
        <v>206141</v>
      </c>
      <c r="C143" s="261"/>
      <c r="D143" s="261"/>
      <c r="E143" s="6"/>
    </row>
    <row r="144" spans="1:5" x14ac:dyDescent="0.25">
      <c r="A144" s="30" t="s">
        <v>520</v>
      </c>
      <c r="B144" s="31" t="s">
        <v>519</v>
      </c>
      <c r="C144" s="261"/>
      <c r="D144" s="261"/>
      <c r="E144" s="6"/>
    </row>
    <row r="145" spans="1:5" x14ac:dyDescent="0.25">
      <c r="A145" s="30" t="s">
        <v>524</v>
      </c>
      <c r="B145" s="31">
        <v>258406</v>
      </c>
      <c r="C145" s="261"/>
      <c r="D145" s="261"/>
      <c r="E145" s="6"/>
    </row>
    <row r="146" spans="1:5" x14ac:dyDescent="0.25">
      <c r="A146" s="30" t="s">
        <v>523</v>
      </c>
      <c r="B146" s="31">
        <v>258408</v>
      </c>
      <c r="C146" s="261"/>
      <c r="D146" s="261"/>
      <c r="E146" s="6"/>
    </row>
    <row r="147" spans="1:5" x14ac:dyDescent="0.25">
      <c r="A147" s="30" t="s">
        <v>525</v>
      </c>
      <c r="B147" s="31" t="s">
        <v>979</v>
      </c>
      <c r="C147" s="261"/>
      <c r="D147" s="261"/>
      <c r="E147" s="6"/>
    </row>
    <row r="148" spans="1:5" x14ac:dyDescent="0.25">
      <c r="A148" s="30" t="s">
        <v>527</v>
      </c>
      <c r="B148" s="31" t="s">
        <v>526</v>
      </c>
      <c r="C148" s="261"/>
      <c r="D148" s="261"/>
      <c r="E148" s="6"/>
    </row>
    <row r="149" spans="1:5" x14ac:dyDescent="0.25">
      <c r="A149" s="30" t="s">
        <v>528</v>
      </c>
      <c r="B149" s="31">
        <v>206146</v>
      </c>
      <c r="C149" s="261"/>
      <c r="D149" s="261"/>
      <c r="E149" s="6"/>
    </row>
    <row r="150" spans="1:5" x14ac:dyDescent="0.25">
      <c r="A150" s="30" t="s">
        <v>530</v>
      </c>
      <c r="B150" s="31" t="s">
        <v>529</v>
      </c>
      <c r="C150" s="261"/>
      <c r="D150" s="261"/>
      <c r="E150" s="6"/>
    </row>
    <row r="151" spans="1:5" x14ac:dyDescent="0.25">
      <c r="A151" s="30" t="s">
        <v>983</v>
      </c>
      <c r="B151" s="31" t="s">
        <v>984</v>
      </c>
      <c r="C151" s="261"/>
      <c r="D151" s="261"/>
      <c r="E151" s="6"/>
    </row>
    <row r="152" spans="1:5" x14ac:dyDescent="0.25">
      <c r="A152" s="30" t="s">
        <v>1032</v>
      </c>
      <c r="B152" s="31" t="s">
        <v>1345</v>
      </c>
      <c r="C152" s="261"/>
      <c r="D152" s="261"/>
      <c r="E152" s="6"/>
    </row>
    <row r="153" spans="1:5" x14ac:dyDescent="0.25">
      <c r="A153" s="30" t="s">
        <v>1346</v>
      </c>
      <c r="B153" s="31" t="s">
        <v>1347</v>
      </c>
      <c r="C153" s="261"/>
      <c r="D153" s="261"/>
      <c r="E153" s="6"/>
    </row>
    <row r="154" spans="1:5" x14ac:dyDescent="0.25">
      <c r="A154" s="30" t="s">
        <v>531</v>
      </c>
      <c r="B154" s="31">
        <v>2534321</v>
      </c>
      <c r="C154" s="261"/>
      <c r="D154" s="261"/>
      <c r="E154" s="6"/>
    </row>
    <row r="155" spans="1:5" x14ac:dyDescent="0.25">
      <c r="A155" s="30" t="s">
        <v>533</v>
      </c>
      <c r="B155" s="31" t="s">
        <v>532</v>
      </c>
      <c r="C155" s="261"/>
      <c r="D155" s="261"/>
      <c r="E155" s="6"/>
    </row>
    <row r="156" spans="1:5" x14ac:dyDescent="0.25">
      <c r="A156" s="30" t="s">
        <v>573</v>
      </c>
      <c r="B156" s="31" t="s">
        <v>572</v>
      </c>
      <c r="C156" s="261"/>
      <c r="D156" s="261"/>
      <c r="E156" s="6"/>
    </row>
    <row r="157" spans="1:5" x14ac:dyDescent="0.25">
      <c r="A157" s="30" t="s">
        <v>535</v>
      </c>
      <c r="B157" s="31" t="s">
        <v>534</v>
      </c>
      <c r="C157" s="261"/>
      <c r="D157" s="261"/>
      <c r="E157" s="6"/>
    </row>
    <row r="158" spans="1:5" x14ac:dyDescent="0.25">
      <c r="A158" s="30" t="s">
        <v>537</v>
      </c>
      <c r="B158" s="31" t="s">
        <v>536</v>
      </c>
      <c r="C158" s="261"/>
      <c r="D158" s="261"/>
      <c r="E158" s="6"/>
    </row>
    <row r="159" spans="1:5" x14ac:dyDescent="0.25">
      <c r="A159" s="30" t="s">
        <v>989</v>
      </c>
      <c r="B159" s="31" t="s">
        <v>990</v>
      </c>
      <c r="C159" s="261"/>
      <c r="D159" s="261"/>
      <c r="E159" s="6"/>
    </row>
    <row r="160" spans="1:5" x14ac:dyDescent="0.25">
      <c r="A160" s="30" t="s">
        <v>539</v>
      </c>
      <c r="B160" s="31" t="s">
        <v>538</v>
      </c>
      <c r="C160" s="261"/>
      <c r="D160" s="261"/>
      <c r="E160" s="6"/>
    </row>
    <row r="161" spans="1:5" x14ac:dyDescent="0.25">
      <c r="A161" s="30" t="s">
        <v>541</v>
      </c>
      <c r="B161" s="31" t="s">
        <v>540</v>
      </c>
      <c r="C161" s="261"/>
      <c r="D161" s="261"/>
      <c r="E161" s="6"/>
    </row>
    <row r="162" spans="1:5" x14ac:dyDescent="0.25">
      <c r="A162" s="30" t="s">
        <v>543</v>
      </c>
      <c r="B162" s="31" t="s">
        <v>542</v>
      </c>
      <c r="C162" s="261"/>
      <c r="D162" s="261"/>
      <c r="E162" s="6"/>
    </row>
    <row r="163" spans="1:5" x14ac:dyDescent="0.25">
      <c r="A163" s="30" t="s">
        <v>545</v>
      </c>
      <c r="B163" s="31" t="s">
        <v>544</v>
      </c>
      <c r="C163" s="261"/>
      <c r="D163" s="261"/>
      <c r="E163" s="6"/>
    </row>
    <row r="164" spans="1:5" x14ac:dyDescent="0.25">
      <c r="A164" s="30" t="s">
        <v>547</v>
      </c>
      <c r="B164" s="31" t="s">
        <v>546</v>
      </c>
      <c r="C164" s="261"/>
      <c r="D164" s="261"/>
      <c r="E164" s="6"/>
    </row>
    <row r="165" spans="1:5" x14ac:dyDescent="0.25">
      <c r="A165" s="30" t="s">
        <v>996</v>
      </c>
      <c r="B165" s="31" t="s">
        <v>997</v>
      </c>
      <c r="C165" s="261"/>
      <c r="D165" s="261"/>
      <c r="E165" s="6"/>
    </row>
    <row r="166" spans="1:5" x14ac:dyDescent="0.25">
      <c r="A166" s="30" t="s">
        <v>550</v>
      </c>
      <c r="B166" s="31" t="s">
        <v>549</v>
      </c>
      <c r="C166" s="261"/>
      <c r="D166" s="261"/>
      <c r="E166" s="6"/>
    </row>
    <row r="167" spans="1:5" x14ac:dyDescent="0.25">
      <c r="A167" s="30" t="s">
        <v>551</v>
      </c>
      <c r="B167" s="31" t="s">
        <v>999</v>
      </c>
      <c r="C167" s="261"/>
      <c r="D167" s="261"/>
      <c r="E167" s="6"/>
    </row>
    <row r="168" spans="1:5" x14ac:dyDescent="0.25">
      <c r="A168" s="30" t="s">
        <v>1366</v>
      </c>
      <c r="B168" s="31" t="s">
        <v>1367</v>
      </c>
      <c r="C168" s="261"/>
      <c r="D168" s="261"/>
      <c r="E168" s="6"/>
    </row>
    <row r="169" spans="1:5" x14ac:dyDescent="0.25">
      <c r="A169" s="30" t="s">
        <v>553</v>
      </c>
      <c r="B169" s="31" t="s">
        <v>552</v>
      </c>
      <c r="C169" s="261"/>
      <c r="D169" s="261"/>
      <c r="E169" s="6"/>
    </row>
    <row r="170" spans="1:5" x14ac:dyDescent="0.25">
      <c r="A170" s="30" t="s">
        <v>554</v>
      </c>
      <c r="B170" s="31">
        <v>206103</v>
      </c>
      <c r="C170" s="261"/>
      <c r="D170" s="261"/>
      <c r="E170" s="6"/>
    </row>
    <row r="171" spans="1:5" x14ac:dyDescent="0.25">
      <c r="A171" s="30" t="s">
        <v>555</v>
      </c>
      <c r="B171" s="31">
        <v>2614882</v>
      </c>
      <c r="C171" s="261"/>
      <c r="D171" s="261"/>
      <c r="E171" s="6"/>
    </row>
    <row r="172" spans="1:5" x14ac:dyDescent="0.25">
      <c r="A172" s="30" t="s">
        <v>557</v>
      </c>
      <c r="B172" s="31" t="s">
        <v>556</v>
      </c>
      <c r="C172" s="261"/>
      <c r="D172" s="261"/>
      <c r="E172" s="6"/>
    </row>
    <row r="173" spans="1:5" x14ac:dyDescent="0.25">
      <c r="A173" s="30" t="s">
        <v>522</v>
      </c>
      <c r="B173" s="31" t="s">
        <v>521</v>
      </c>
      <c r="C173" s="261"/>
      <c r="D173" s="261"/>
      <c r="E173" s="6"/>
    </row>
    <row r="174" spans="1:5" x14ac:dyDescent="0.25">
      <c r="A174" s="30" t="s">
        <v>1030</v>
      </c>
      <c r="B174" s="31">
        <v>258408</v>
      </c>
      <c r="C174" s="261"/>
      <c r="D174" s="261"/>
      <c r="E174" s="6"/>
    </row>
    <row r="175" spans="1:5" x14ac:dyDescent="0.25">
      <c r="A175" s="30" t="s">
        <v>560</v>
      </c>
      <c r="B175" s="31">
        <v>2498864</v>
      </c>
      <c r="C175" s="261"/>
      <c r="D175" s="261"/>
      <c r="E175" s="6"/>
    </row>
    <row r="176" spans="1:5" x14ac:dyDescent="0.25">
      <c r="A176" s="30" t="s">
        <v>562</v>
      </c>
      <c r="B176" s="31" t="s">
        <v>561</v>
      </c>
      <c r="C176" s="261"/>
      <c r="D176" s="261"/>
      <c r="E176" s="6"/>
    </row>
    <row r="177" spans="1:5" x14ac:dyDescent="0.25">
      <c r="A177" s="30" t="s">
        <v>1006</v>
      </c>
      <c r="B177" s="31" t="s">
        <v>1007</v>
      </c>
      <c r="C177" s="261"/>
      <c r="D177" s="261"/>
      <c r="E177" s="6"/>
    </row>
    <row r="178" spans="1:5" x14ac:dyDescent="0.25">
      <c r="A178" s="30" t="s">
        <v>565</v>
      </c>
      <c r="B178" s="31" t="s">
        <v>564</v>
      </c>
      <c r="C178" s="261"/>
      <c r="D178" s="261"/>
      <c r="E178" s="6"/>
    </row>
    <row r="179" spans="1:5" x14ac:dyDescent="0.25">
      <c r="A179" s="30" t="s">
        <v>567</v>
      </c>
      <c r="B179" s="31" t="s">
        <v>566</v>
      </c>
      <c r="C179" s="261"/>
      <c r="D179" s="261"/>
      <c r="E179" s="6"/>
    </row>
    <row r="180" spans="1:5" x14ac:dyDescent="0.25">
      <c r="A180" s="30" t="s">
        <v>569</v>
      </c>
      <c r="B180" s="31" t="s">
        <v>568</v>
      </c>
      <c r="C180" s="261"/>
      <c r="D180" s="261"/>
      <c r="E180" s="6"/>
    </row>
    <row r="181" spans="1:5" x14ac:dyDescent="0.25">
      <c r="A181" s="30" t="s">
        <v>570</v>
      </c>
      <c r="B181" s="31">
        <v>2568273</v>
      </c>
      <c r="C181" s="261"/>
      <c r="D181" s="261"/>
      <c r="E181" s="6"/>
    </row>
    <row r="182" spans="1:5" x14ac:dyDescent="0.25">
      <c r="A182" s="30" t="s">
        <v>571</v>
      </c>
      <c r="B182" s="31">
        <v>509204</v>
      </c>
      <c r="C182" s="261"/>
      <c r="D182" s="261"/>
      <c r="E182" s="6"/>
    </row>
    <row r="183" spans="1:5" x14ac:dyDescent="0.25">
      <c r="A183"/>
      <c r="B183"/>
    </row>
    <row r="184" spans="1:5" x14ac:dyDescent="0.25">
      <c r="A184"/>
      <c r="B184"/>
    </row>
    <row r="185" spans="1:5" x14ac:dyDescent="0.25">
      <c r="A185"/>
      <c r="B185"/>
    </row>
    <row r="186" spans="1:5" x14ac:dyDescent="0.25">
      <c r="A186"/>
      <c r="B186"/>
    </row>
    <row r="187" spans="1:5" x14ac:dyDescent="0.25">
      <c r="A187"/>
      <c r="B187"/>
    </row>
    <row r="188" spans="1:5" x14ac:dyDescent="0.25">
      <c r="A188"/>
      <c r="B188"/>
    </row>
    <row r="189" spans="1:5" x14ac:dyDescent="0.25">
      <c r="A189"/>
      <c r="B189"/>
    </row>
    <row r="190" spans="1:5" x14ac:dyDescent="0.25">
      <c r="A190"/>
      <c r="B190"/>
    </row>
    <row r="191" spans="1:5" x14ac:dyDescent="0.25">
      <c r="A191"/>
      <c r="B191"/>
    </row>
    <row r="192" spans="1:5" x14ac:dyDescent="0.25">
      <c r="A192"/>
      <c r="B192"/>
    </row>
    <row r="193" spans="1:2" x14ac:dyDescent="0.25">
      <c r="A193"/>
      <c r="B193"/>
    </row>
    <row r="194" spans="1:2" x14ac:dyDescent="0.25">
      <c r="A194"/>
      <c r="B194"/>
    </row>
    <row r="195" spans="1:2" x14ac:dyDescent="0.25">
      <c r="A195"/>
      <c r="B195"/>
    </row>
    <row r="196" spans="1:2" x14ac:dyDescent="0.25">
      <c r="A196"/>
      <c r="B196"/>
    </row>
    <row r="197" spans="1:2" x14ac:dyDescent="0.25">
      <c r="A197"/>
      <c r="B197"/>
    </row>
    <row r="198" spans="1:2" x14ac:dyDescent="0.25">
      <c r="A198"/>
      <c r="B198"/>
    </row>
    <row r="199" spans="1:2" x14ac:dyDescent="0.25">
      <c r="A199"/>
      <c r="B199"/>
    </row>
    <row r="200" spans="1:2" x14ac:dyDescent="0.25">
      <c r="A200"/>
      <c r="B200"/>
    </row>
    <row r="201" spans="1:2" x14ac:dyDescent="0.25">
      <c r="A201"/>
      <c r="B201"/>
    </row>
    <row r="202" spans="1:2" x14ac:dyDescent="0.25">
      <c r="A202"/>
      <c r="B202"/>
    </row>
    <row r="203" spans="1:2" x14ac:dyDescent="0.25">
      <c r="A203"/>
      <c r="B203"/>
    </row>
    <row r="204" spans="1:2" x14ac:dyDescent="0.25">
      <c r="A204"/>
      <c r="B204"/>
    </row>
    <row r="205" spans="1:2" x14ac:dyDescent="0.25">
      <c r="A205"/>
      <c r="B205"/>
    </row>
    <row r="206" spans="1:2" x14ac:dyDescent="0.25">
      <c r="A206"/>
      <c r="B206"/>
    </row>
    <row r="207" spans="1:2" x14ac:dyDescent="0.25">
      <c r="A207"/>
      <c r="B207"/>
    </row>
    <row r="208" spans="1:2" x14ac:dyDescent="0.25">
      <c r="A208"/>
      <c r="B208"/>
    </row>
    <row r="209" spans="1:2" x14ac:dyDescent="0.25">
      <c r="A209"/>
      <c r="B209"/>
    </row>
    <row r="210" spans="1:2" x14ac:dyDescent="0.25">
      <c r="A210"/>
      <c r="B210"/>
    </row>
    <row r="211" spans="1:2" x14ac:dyDescent="0.25">
      <c r="A211"/>
      <c r="B211"/>
    </row>
    <row r="212" spans="1:2" x14ac:dyDescent="0.25">
      <c r="A212"/>
      <c r="B212"/>
    </row>
    <row r="213" spans="1:2" x14ac:dyDescent="0.25">
      <c r="A213"/>
      <c r="B213"/>
    </row>
    <row r="214" spans="1:2" x14ac:dyDescent="0.25">
      <c r="A214"/>
      <c r="B214"/>
    </row>
    <row r="215" spans="1:2" x14ac:dyDescent="0.25">
      <c r="A215"/>
      <c r="B215"/>
    </row>
    <row r="216" spans="1:2" x14ac:dyDescent="0.25">
      <c r="A216"/>
      <c r="B216"/>
    </row>
    <row r="217" spans="1:2" x14ac:dyDescent="0.25">
      <c r="A217"/>
      <c r="B217"/>
    </row>
    <row r="218" spans="1:2" x14ac:dyDescent="0.25">
      <c r="A218"/>
      <c r="B218"/>
    </row>
    <row r="219" spans="1:2" x14ac:dyDescent="0.25">
      <c r="A219"/>
      <c r="B219"/>
    </row>
    <row r="220" spans="1:2" x14ac:dyDescent="0.25">
      <c r="A220"/>
      <c r="B220"/>
    </row>
    <row r="221" spans="1:2" x14ac:dyDescent="0.25">
      <c r="A221"/>
      <c r="B221"/>
    </row>
    <row r="222" spans="1:2" x14ac:dyDescent="0.25">
      <c r="A222"/>
      <c r="B222"/>
    </row>
    <row r="223" spans="1:2" x14ac:dyDescent="0.25">
      <c r="A223"/>
      <c r="B223"/>
    </row>
    <row r="224" spans="1:2" x14ac:dyDescent="0.25">
      <c r="A224"/>
      <c r="B224"/>
    </row>
    <row r="225" spans="1:2" x14ac:dyDescent="0.25">
      <c r="A225"/>
      <c r="B225"/>
    </row>
    <row r="226" spans="1:2" x14ac:dyDescent="0.25">
      <c r="A226"/>
      <c r="B226"/>
    </row>
    <row r="227" spans="1:2" x14ac:dyDescent="0.25">
      <c r="A227"/>
      <c r="B227"/>
    </row>
    <row r="228" spans="1:2" x14ac:dyDescent="0.25">
      <c r="A228"/>
      <c r="B228"/>
    </row>
    <row r="229" spans="1:2" x14ac:dyDescent="0.25">
      <c r="A229"/>
      <c r="B229"/>
    </row>
    <row r="230" spans="1:2" x14ac:dyDescent="0.25">
      <c r="A230"/>
      <c r="B230"/>
    </row>
    <row r="231" spans="1:2" x14ac:dyDescent="0.25">
      <c r="A231"/>
      <c r="B231"/>
    </row>
    <row r="232" spans="1:2" x14ac:dyDescent="0.25">
      <c r="A232"/>
      <c r="B232"/>
    </row>
    <row r="233" spans="1:2" x14ac:dyDescent="0.25">
      <c r="A233"/>
      <c r="B233"/>
    </row>
    <row r="234" spans="1:2" x14ac:dyDescent="0.25">
      <c r="A234"/>
      <c r="B234"/>
    </row>
    <row r="235" spans="1:2" x14ac:dyDescent="0.25">
      <c r="A235"/>
      <c r="B235"/>
    </row>
    <row r="236" spans="1:2" x14ac:dyDescent="0.25">
      <c r="A236"/>
      <c r="B236"/>
    </row>
    <row r="237" spans="1:2" x14ac:dyDescent="0.25">
      <c r="A237"/>
      <c r="B237"/>
    </row>
    <row r="238" spans="1:2" x14ac:dyDescent="0.25">
      <c r="A238"/>
      <c r="B238"/>
    </row>
    <row r="239" spans="1:2" x14ac:dyDescent="0.25">
      <c r="A239"/>
      <c r="B239"/>
    </row>
    <row r="240" spans="1:2" x14ac:dyDescent="0.25">
      <c r="A240"/>
      <c r="B240"/>
    </row>
    <row r="241" spans="1:2" x14ac:dyDescent="0.25">
      <c r="A241"/>
      <c r="B241"/>
    </row>
    <row r="242" spans="1:2" x14ac:dyDescent="0.25">
      <c r="A242"/>
      <c r="B242"/>
    </row>
    <row r="243" spans="1:2" x14ac:dyDescent="0.25">
      <c r="A243"/>
      <c r="B243"/>
    </row>
    <row r="244" spans="1:2" x14ac:dyDescent="0.25">
      <c r="A244"/>
      <c r="B244"/>
    </row>
    <row r="245" spans="1:2" x14ac:dyDescent="0.25">
      <c r="A245"/>
      <c r="B245"/>
    </row>
    <row r="246" spans="1:2" x14ac:dyDescent="0.25">
      <c r="A246"/>
      <c r="B246"/>
    </row>
    <row r="247" spans="1:2" x14ac:dyDescent="0.25">
      <c r="A247"/>
      <c r="B247"/>
    </row>
    <row r="248" spans="1:2" x14ac:dyDescent="0.25">
      <c r="A248"/>
      <c r="B248"/>
    </row>
    <row r="249" spans="1:2" x14ac:dyDescent="0.25">
      <c r="A249"/>
      <c r="B249"/>
    </row>
    <row r="250" spans="1:2" x14ac:dyDescent="0.25">
      <c r="A250"/>
      <c r="B250"/>
    </row>
    <row r="251" spans="1:2" x14ac:dyDescent="0.25">
      <c r="A251"/>
      <c r="B251"/>
    </row>
    <row r="252" spans="1:2" x14ac:dyDescent="0.25">
      <c r="A252"/>
      <c r="B252"/>
    </row>
    <row r="253" spans="1:2" x14ac:dyDescent="0.25">
      <c r="A253"/>
      <c r="B253"/>
    </row>
    <row r="254" spans="1:2" x14ac:dyDescent="0.25">
      <c r="A254"/>
      <c r="B254"/>
    </row>
    <row r="255" spans="1:2" x14ac:dyDescent="0.25">
      <c r="A255"/>
      <c r="B255"/>
    </row>
    <row r="256" spans="1:2" x14ac:dyDescent="0.25">
      <c r="A256"/>
      <c r="B256"/>
    </row>
    <row r="257" spans="1:2" x14ac:dyDescent="0.25">
      <c r="A257"/>
      <c r="B257"/>
    </row>
    <row r="258" spans="1:2" x14ac:dyDescent="0.25">
      <c r="A258"/>
      <c r="B258"/>
    </row>
    <row r="259" spans="1:2" x14ac:dyDescent="0.25">
      <c r="A259"/>
      <c r="B259"/>
    </row>
    <row r="260" spans="1:2" x14ac:dyDescent="0.25">
      <c r="A260"/>
      <c r="B260"/>
    </row>
    <row r="261" spans="1:2" x14ac:dyDescent="0.25">
      <c r="A261"/>
      <c r="B261"/>
    </row>
    <row r="262" spans="1:2" x14ac:dyDescent="0.25">
      <c r="A262"/>
      <c r="B262"/>
    </row>
    <row r="263" spans="1:2" x14ac:dyDescent="0.25">
      <c r="A263"/>
      <c r="B263"/>
    </row>
    <row r="264" spans="1:2" x14ac:dyDescent="0.25">
      <c r="A264"/>
      <c r="B264"/>
    </row>
    <row r="265" spans="1:2" x14ac:dyDescent="0.25">
      <c r="A265"/>
      <c r="B265"/>
    </row>
    <row r="266" spans="1:2" x14ac:dyDescent="0.25">
      <c r="A266"/>
      <c r="B266"/>
    </row>
    <row r="267" spans="1:2" x14ac:dyDescent="0.25">
      <c r="A267"/>
      <c r="B267"/>
    </row>
    <row r="268" spans="1:2" x14ac:dyDescent="0.25">
      <c r="A268"/>
      <c r="B268"/>
    </row>
    <row r="269" spans="1:2" x14ac:dyDescent="0.25">
      <c r="A269"/>
      <c r="B269"/>
    </row>
    <row r="270" spans="1:2" x14ac:dyDescent="0.25">
      <c r="A270"/>
      <c r="B270"/>
    </row>
    <row r="271" spans="1:2" x14ac:dyDescent="0.25">
      <c r="A271"/>
      <c r="B271"/>
    </row>
    <row r="272" spans="1:2" x14ac:dyDescent="0.25">
      <c r="A272"/>
      <c r="B272"/>
    </row>
    <row r="273" spans="1:2" x14ac:dyDescent="0.25">
      <c r="A273"/>
      <c r="B273"/>
    </row>
    <row r="274" spans="1:2" x14ac:dyDescent="0.25">
      <c r="A274"/>
      <c r="B274"/>
    </row>
    <row r="275" spans="1:2" x14ac:dyDescent="0.25">
      <c r="A275"/>
      <c r="B275"/>
    </row>
    <row r="276" spans="1:2" x14ac:dyDescent="0.25">
      <c r="A276"/>
      <c r="B276"/>
    </row>
    <row r="277" spans="1:2" x14ac:dyDescent="0.25">
      <c r="A277"/>
      <c r="B277"/>
    </row>
    <row r="278" spans="1:2" x14ac:dyDescent="0.25">
      <c r="A278"/>
      <c r="B278"/>
    </row>
    <row r="279" spans="1:2" x14ac:dyDescent="0.25">
      <c r="A279"/>
      <c r="B279"/>
    </row>
    <row r="280" spans="1:2" x14ac:dyDescent="0.25">
      <c r="A280"/>
      <c r="B280"/>
    </row>
    <row r="281" spans="1:2" x14ac:dyDescent="0.25">
      <c r="A281"/>
      <c r="B281"/>
    </row>
    <row r="282" spans="1:2" x14ac:dyDescent="0.25">
      <c r="A282"/>
      <c r="B282"/>
    </row>
    <row r="283" spans="1:2" x14ac:dyDescent="0.25">
      <c r="A283"/>
      <c r="B283"/>
    </row>
    <row r="284" spans="1:2" x14ac:dyDescent="0.25">
      <c r="A284"/>
      <c r="B284"/>
    </row>
    <row r="285" spans="1:2" x14ac:dyDescent="0.25">
      <c r="A285"/>
      <c r="B285"/>
    </row>
    <row r="286" spans="1:2" x14ac:dyDescent="0.25">
      <c r="A286"/>
      <c r="B286"/>
    </row>
    <row r="287" spans="1:2" x14ac:dyDescent="0.25">
      <c r="A287"/>
      <c r="B287"/>
    </row>
    <row r="288" spans="1:2" x14ac:dyDescent="0.25">
      <c r="A288"/>
      <c r="B288"/>
    </row>
    <row r="289" spans="1:2" x14ac:dyDescent="0.25">
      <c r="A289"/>
      <c r="B289"/>
    </row>
    <row r="290" spans="1:2" x14ac:dyDescent="0.25">
      <c r="A290"/>
      <c r="B290"/>
    </row>
    <row r="291" spans="1:2" x14ac:dyDescent="0.25">
      <c r="A291"/>
      <c r="B291"/>
    </row>
    <row r="292" spans="1:2" x14ac:dyDescent="0.25">
      <c r="A292"/>
      <c r="B292"/>
    </row>
    <row r="293" spans="1:2" x14ac:dyDescent="0.25">
      <c r="A293"/>
      <c r="B293"/>
    </row>
    <row r="294" spans="1:2" x14ac:dyDescent="0.25">
      <c r="A294"/>
      <c r="B294"/>
    </row>
    <row r="295" spans="1:2" x14ac:dyDescent="0.25">
      <c r="A295"/>
      <c r="B295"/>
    </row>
    <row r="296" spans="1:2" x14ac:dyDescent="0.25">
      <c r="A296"/>
      <c r="B296"/>
    </row>
    <row r="297" spans="1:2" x14ac:dyDescent="0.25">
      <c r="A297"/>
      <c r="B297"/>
    </row>
    <row r="298" spans="1:2" x14ac:dyDescent="0.25">
      <c r="A298"/>
      <c r="B298"/>
    </row>
    <row r="299" spans="1:2" x14ac:dyDescent="0.25">
      <c r="A299"/>
      <c r="B299"/>
    </row>
    <row r="300" spans="1:2" x14ac:dyDescent="0.25">
      <c r="A300"/>
      <c r="B300"/>
    </row>
    <row r="301" spans="1:2" x14ac:dyDescent="0.25">
      <c r="A301"/>
      <c r="B301"/>
    </row>
    <row r="302" spans="1:2" x14ac:dyDescent="0.25">
      <c r="A302"/>
      <c r="B302"/>
    </row>
    <row r="303" spans="1:2" x14ac:dyDescent="0.25">
      <c r="A303"/>
      <c r="B303"/>
    </row>
    <row r="304" spans="1:2" x14ac:dyDescent="0.25">
      <c r="A304"/>
      <c r="B304"/>
    </row>
    <row r="305" spans="1:2" x14ac:dyDescent="0.25">
      <c r="A305"/>
      <c r="B305"/>
    </row>
    <row r="306" spans="1:2" x14ac:dyDescent="0.25">
      <c r="A306"/>
      <c r="B306"/>
    </row>
    <row r="307" spans="1:2" x14ac:dyDescent="0.25">
      <c r="A307"/>
      <c r="B307"/>
    </row>
    <row r="308" spans="1:2" x14ac:dyDescent="0.25">
      <c r="A308"/>
      <c r="B308"/>
    </row>
    <row r="309" spans="1:2" x14ac:dyDescent="0.25">
      <c r="A309"/>
      <c r="B309"/>
    </row>
    <row r="310" spans="1:2" x14ac:dyDescent="0.25">
      <c r="A310"/>
      <c r="B310"/>
    </row>
    <row r="311" spans="1:2" x14ac:dyDescent="0.25">
      <c r="A311"/>
      <c r="B311"/>
    </row>
    <row r="312" spans="1:2" x14ac:dyDescent="0.25">
      <c r="A312"/>
      <c r="B312"/>
    </row>
    <row r="313" spans="1:2" x14ac:dyDescent="0.25">
      <c r="A313"/>
      <c r="B313"/>
    </row>
    <row r="314" spans="1:2" x14ac:dyDescent="0.25">
      <c r="A314"/>
      <c r="B314"/>
    </row>
    <row r="315" spans="1:2" x14ac:dyDescent="0.25">
      <c r="A315"/>
      <c r="B315"/>
    </row>
    <row r="316" spans="1:2" x14ac:dyDescent="0.25">
      <c r="A316"/>
      <c r="B316"/>
    </row>
    <row r="317" spans="1:2" x14ac:dyDescent="0.25">
      <c r="A317"/>
      <c r="B317"/>
    </row>
    <row r="318" spans="1:2" x14ac:dyDescent="0.25">
      <c r="A318"/>
      <c r="B318"/>
    </row>
    <row r="319" spans="1:2" x14ac:dyDescent="0.25">
      <c r="A319"/>
      <c r="B319"/>
    </row>
    <row r="320" spans="1:2" x14ac:dyDescent="0.25">
      <c r="A320"/>
      <c r="B320"/>
    </row>
    <row r="321" spans="1:2" x14ac:dyDescent="0.25">
      <c r="A321"/>
      <c r="B321"/>
    </row>
    <row r="322" spans="1:2" x14ac:dyDescent="0.25">
      <c r="A322"/>
      <c r="B322"/>
    </row>
    <row r="323" spans="1:2" x14ac:dyDescent="0.25">
      <c r="A323"/>
      <c r="B323"/>
    </row>
    <row r="324" spans="1:2" x14ac:dyDescent="0.25">
      <c r="A324"/>
      <c r="B324"/>
    </row>
    <row r="325" spans="1:2" x14ac:dyDescent="0.25">
      <c r="A325"/>
      <c r="B325"/>
    </row>
    <row r="326" spans="1:2" x14ac:dyDescent="0.25">
      <c r="A326"/>
      <c r="B326"/>
    </row>
    <row r="327" spans="1:2" x14ac:dyDescent="0.25">
      <c r="A327"/>
      <c r="B327"/>
    </row>
    <row r="328" spans="1:2" x14ac:dyDescent="0.25">
      <c r="A328"/>
      <c r="B328"/>
    </row>
    <row r="329" spans="1:2" x14ac:dyDescent="0.25">
      <c r="A329"/>
      <c r="B329"/>
    </row>
    <row r="330" spans="1:2" x14ac:dyDescent="0.25">
      <c r="A330"/>
      <c r="B330"/>
    </row>
    <row r="331" spans="1:2" x14ac:dyDescent="0.25">
      <c r="A331"/>
      <c r="B331"/>
    </row>
    <row r="332" spans="1:2" x14ac:dyDescent="0.25">
      <c r="A332"/>
      <c r="B332"/>
    </row>
    <row r="333" spans="1:2" x14ac:dyDescent="0.25">
      <c r="A333"/>
      <c r="B333"/>
    </row>
    <row r="334" spans="1:2" x14ac:dyDescent="0.25">
      <c r="A334"/>
      <c r="B334"/>
    </row>
    <row r="335" spans="1:2" x14ac:dyDescent="0.25">
      <c r="A335"/>
      <c r="B335"/>
    </row>
    <row r="336" spans="1:2" x14ac:dyDescent="0.25">
      <c r="A336"/>
      <c r="B336"/>
    </row>
    <row r="337" spans="1:2" x14ac:dyDescent="0.25">
      <c r="A337"/>
      <c r="B337"/>
    </row>
    <row r="338" spans="1:2" x14ac:dyDescent="0.25">
      <c r="A338"/>
      <c r="B338"/>
    </row>
    <row r="339" spans="1:2" x14ac:dyDescent="0.25">
      <c r="A339"/>
      <c r="B339"/>
    </row>
    <row r="340" spans="1:2" x14ac:dyDescent="0.25">
      <c r="A340"/>
      <c r="B340"/>
    </row>
    <row r="341" spans="1:2" x14ac:dyDescent="0.25">
      <c r="A341"/>
      <c r="B341"/>
    </row>
    <row r="342" spans="1:2" x14ac:dyDescent="0.25">
      <c r="A342"/>
      <c r="B342"/>
    </row>
    <row r="343" spans="1:2" x14ac:dyDescent="0.25">
      <c r="A343"/>
      <c r="B343"/>
    </row>
    <row r="344" spans="1:2" x14ac:dyDescent="0.25">
      <c r="A344"/>
      <c r="B344"/>
    </row>
    <row r="345" spans="1:2" x14ac:dyDescent="0.25">
      <c r="A345"/>
      <c r="B345"/>
    </row>
    <row r="346" spans="1:2" x14ac:dyDescent="0.25">
      <c r="A346"/>
      <c r="B346"/>
    </row>
    <row r="347" spans="1:2" x14ac:dyDescent="0.25">
      <c r="A347"/>
      <c r="B347"/>
    </row>
    <row r="348" spans="1:2" x14ac:dyDescent="0.25">
      <c r="A348"/>
      <c r="B348"/>
    </row>
    <row r="349" spans="1:2" x14ac:dyDescent="0.25">
      <c r="A349"/>
      <c r="B349"/>
    </row>
    <row r="350" spans="1:2" x14ac:dyDescent="0.25">
      <c r="A350"/>
      <c r="B350"/>
    </row>
    <row r="351" spans="1:2" x14ac:dyDescent="0.25">
      <c r="A351"/>
      <c r="B351"/>
    </row>
    <row r="352" spans="1:2" x14ac:dyDescent="0.25">
      <c r="A352"/>
      <c r="B352"/>
    </row>
    <row r="353" spans="1:2" x14ac:dyDescent="0.25">
      <c r="A353"/>
      <c r="B353"/>
    </row>
    <row r="354" spans="1:2" x14ac:dyDescent="0.25">
      <c r="A354"/>
      <c r="B354"/>
    </row>
    <row r="355" spans="1:2" x14ac:dyDescent="0.25">
      <c r="A355"/>
      <c r="B355"/>
    </row>
    <row r="356" spans="1:2" x14ac:dyDescent="0.25">
      <c r="A356"/>
      <c r="B356"/>
    </row>
    <row r="357" spans="1:2" x14ac:dyDescent="0.25">
      <c r="A357"/>
      <c r="B357"/>
    </row>
    <row r="358" spans="1:2" x14ac:dyDescent="0.25">
      <c r="A358"/>
      <c r="B358"/>
    </row>
    <row r="359" spans="1:2" x14ac:dyDescent="0.25">
      <c r="A359"/>
      <c r="B359"/>
    </row>
    <row r="360" spans="1:2" x14ac:dyDescent="0.25">
      <c r="A360"/>
      <c r="B360"/>
    </row>
    <row r="361" spans="1:2" x14ac:dyDescent="0.25">
      <c r="A361"/>
      <c r="B361"/>
    </row>
    <row r="362" spans="1:2" x14ac:dyDescent="0.25">
      <c r="A362"/>
      <c r="B362"/>
    </row>
    <row r="363" spans="1:2" x14ac:dyDescent="0.25">
      <c r="A363"/>
      <c r="B363"/>
    </row>
    <row r="364" spans="1:2" x14ac:dyDescent="0.25">
      <c r="A364"/>
      <c r="B364"/>
    </row>
    <row r="365" spans="1:2" x14ac:dyDescent="0.25">
      <c r="A365"/>
      <c r="B365"/>
    </row>
    <row r="366" spans="1:2" x14ac:dyDescent="0.25">
      <c r="A366"/>
      <c r="B366"/>
    </row>
    <row r="367" spans="1:2" x14ac:dyDescent="0.25">
      <c r="A367"/>
      <c r="B367"/>
    </row>
    <row r="368" spans="1:2" x14ac:dyDescent="0.25">
      <c r="A368"/>
      <c r="B368"/>
    </row>
    <row r="369" spans="1:2" x14ac:dyDescent="0.25">
      <c r="A369"/>
      <c r="B369"/>
    </row>
    <row r="370" spans="1:2" x14ac:dyDescent="0.25">
      <c r="A370"/>
      <c r="B370"/>
    </row>
    <row r="371" spans="1:2" x14ac:dyDescent="0.25">
      <c r="A371"/>
      <c r="B371"/>
    </row>
    <row r="372" spans="1:2" x14ac:dyDescent="0.25">
      <c r="A372"/>
      <c r="B372"/>
    </row>
    <row r="373" spans="1:2" x14ac:dyDescent="0.25">
      <c r="A373"/>
      <c r="B373"/>
    </row>
    <row r="374" spans="1:2" x14ac:dyDescent="0.25">
      <c r="A374"/>
      <c r="B374"/>
    </row>
    <row r="375" spans="1:2" x14ac:dyDescent="0.25">
      <c r="A375"/>
      <c r="B375"/>
    </row>
    <row r="376" spans="1:2" x14ac:dyDescent="0.25">
      <c r="A376"/>
      <c r="B376"/>
    </row>
    <row r="377" spans="1:2" x14ac:dyDescent="0.25">
      <c r="A377"/>
      <c r="B377"/>
    </row>
    <row r="378" spans="1:2" x14ac:dyDescent="0.25">
      <c r="A378"/>
      <c r="B378"/>
    </row>
    <row r="379" spans="1:2" x14ac:dyDescent="0.25">
      <c r="A379"/>
      <c r="B379"/>
    </row>
    <row r="380" spans="1:2" x14ac:dyDescent="0.25">
      <c r="A380"/>
      <c r="B380"/>
    </row>
    <row r="381" spans="1:2" x14ac:dyDescent="0.25">
      <c r="A381"/>
      <c r="B381"/>
    </row>
    <row r="382" spans="1:2" x14ac:dyDescent="0.25">
      <c r="A382"/>
      <c r="B382"/>
    </row>
    <row r="383" spans="1:2" x14ac:dyDescent="0.25">
      <c r="A383"/>
      <c r="B383"/>
    </row>
    <row r="384" spans="1:2" x14ac:dyDescent="0.25">
      <c r="A384"/>
      <c r="B384"/>
    </row>
    <row r="385" spans="1:2" x14ac:dyDescent="0.25">
      <c r="A385"/>
      <c r="B385"/>
    </row>
    <row r="386" spans="1:2" x14ac:dyDescent="0.25">
      <c r="A386"/>
      <c r="B386"/>
    </row>
    <row r="387" spans="1:2" x14ac:dyDescent="0.25">
      <c r="A387"/>
      <c r="B387"/>
    </row>
    <row r="388" spans="1:2" x14ac:dyDescent="0.25">
      <c r="A388"/>
      <c r="B388"/>
    </row>
    <row r="389" spans="1:2" x14ac:dyDescent="0.25">
      <c r="A389"/>
      <c r="B389"/>
    </row>
    <row r="390" spans="1:2" x14ac:dyDescent="0.25">
      <c r="A390"/>
      <c r="B390"/>
    </row>
    <row r="391" spans="1:2" x14ac:dyDescent="0.25">
      <c r="A391"/>
      <c r="B391"/>
    </row>
    <row r="392" spans="1:2" x14ac:dyDescent="0.25">
      <c r="A392"/>
      <c r="B392"/>
    </row>
    <row r="393" spans="1:2" x14ac:dyDescent="0.25">
      <c r="A393"/>
      <c r="B393"/>
    </row>
    <row r="394" spans="1:2" x14ac:dyDescent="0.25">
      <c r="A394"/>
      <c r="B394"/>
    </row>
    <row r="395" spans="1:2" x14ac:dyDescent="0.25">
      <c r="A395"/>
      <c r="B395"/>
    </row>
    <row r="396" spans="1:2" x14ac:dyDescent="0.25">
      <c r="A396"/>
      <c r="B396"/>
    </row>
    <row r="397" spans="1:2" x14ac:dyDescent="0.25">
      <c r="A397"/>
      <c r="B397"/>
    </row>
    <row r="398" spans="1:2" x14ac:dyDescent="0.25">
      <c r="A398"/>
      <c r="B398"/>
    </row>
    <row r="399" spans="1:2" x14ac:dyDescent="0.25">
      <c r="A399"/>
      <c r="B399"/>
    </row>
    <row r="400" spans="1:2" x14ac:dyDescent="0.25">
      <c r="A400"/>
      <c r="B400"/>
    </row>
    <row r="401" spans="1:2" x14ac:dyDescent="0.25">
      <c r="A401"/>
      <c r="B401"/>
    </row>
    <row r="402" spans="1:2" x14ac:dyDescent="0.25">
      <c r="A402"/>
      <c r="B402"/>
    </row>
    <row r="403" spans="1:2" x14ac:dyDescent="0.25">
      <c r="A403"/>
      <c r="B403"/>
    </row>
    <row r="404" spans="1:2" x14ac:dyDescent="0.25">
      <c r="A404"/>
      <c r="B404"/>
    </row>
    <row r="405" spans="1:2" x14ac:dyDescent="0.25">
      <c r="A405"/>
      <c r="B405"/>
    </row>
    <row r="406" spans="1:2" x14ac:dyDescent="0.25">
      <c r="A406"/>
      <c r="B406"/>
    </row>
    <row r="407" spans="1:2" x14ac:dyDescent="0.25">
      <c r="A407"/>
      <c r="B407"/>
    </row>
    <row r="408" spans="1:2" x14ac:dyDescent="0.25">
      <c r="A408"/>
      <c r="B408"/>
    </row>
    <row r="409" spans="1:2" x14ac:dyDescent="0.25">
      <c r="A409"/>
      <c r="B409"/>
    </row>
    <row r="410" spans="1:2" x14ac:dyDescent="0.25">
      <c r="A410"/>
      <c r="B410"/>
    </row>
    <row r="411" spans="1:2" x14ac:dyDescent="0.25">
      <c r="A411"/>
      <c r="B411"/>
    </row>
    <row r="412" spans="1:2" x14ac:dyDescent="0.25">
      <c r="A412"/>
      <c r="B412"/>
    </row>
    <row r="413" spans="1:2" x14ac:dyDescent="0.25">
      <c r="A413"/>
      <c r="B413"/>
    </row>
    <row r="414" spans="1:2" x14ac:dyDescent="0.25">
      <c r="A414"/>
      <c r="B414"/>
    </row>
    <row r="415" spans="1:2" x14ac:dyDescent="0.25">
      <c r="A415"/>
      <c r="B415"/>
    </row>
    <row r="416" spans="1:2" x14ac:dyDescent="0.25">
      <c r="A416"/>
      <c r="B416"/>
    </row>
    <row r="417" spans="1:2" x14ac:dyDescent="0.25">
      <c r="A417"/>
      <c r="B417"/>
    </row>
    <row r="418" spans="1:2" x14ac:dyDescent="0.25">
      <c r="A418"/>
      <c r="B418"/>
    </row>
    <row r="419" spans="1:2" x14ac:dyDescent="0.25">
      <c r="A419"/>
      <c r="B419"/>
    </row>
    <row r="420" spans="1:2" x14ac:dyDescent="0.25">
      <c r="A420"/>
      <c r="B420"/>
    </row>
    <row r="421" spans="1:2" x14ac:dyDescent="0.25">
      <c r="A421"/>
      <c r="B421"/>
    </row>
    <row r="422" spans="1:2" x14ac:dyDescent="0.25">
      <c r="A422"/>
      <c r="B422"/>
    </row>
    <row r="423" spans="1:2" x14ac:dyDescent="0.25">
      <c r="A423"/>
      <c r="B423"/>
    </row>
    <row r="424" spans="1:2" x14ac:dyDescent="0.25">
      <c r="A424"/>
      <c r="B424"/>
    </row>
    <row r="425" spans="1:2" x14ac:dyDescent="0.25">
      <c r="A425"/>
      <c r="B425"/>
    </row>
    <row r="426" spans="1:2" x14ac:dyDescent="0.25">
      <c r="A426"/>
      <c r="B426"/>
    </row>
    <row r="427" spans="1:2" x14ac:dyDescent="0.25">
      <c r="A427"/>
      <c r="B427"/>
    </row>
    <row r="428" spans="1:2" x14ac:dyDescent="0.25">
      <c r="A428"/>
      <c r="B428"/>
    </row>
    <row r="429" spans="1:2" x14ac:dyDescent="0.25">
      <c r="A429"/>
      <c r="B429"/>
    </row>
    <row r="430" spans="1:2" x14ac:dyDescent="0.25">
      <c r="A430"/>
      <c r="B430"/>
    </row>
    <row r="431" spans="1:2" x14ac:dyDescent="0.25">
      <c r="A431"/>
      <c r="B431"/>
    </row>
    <row r="432" spans="1:2" x14ac:dyDescent="0.25">
      <c r="A432"/>
      <c r="B432"/>
    </row>
    <row r="433" spans="1:2" x14ac:dyDescent="0.25">
      <c r="A433"/>
      <c r="B433"/>
    </row>
    <row r="434" spans="1:2" x14ac:dyDescent="0.25">
      <c r="A434"/>
      <c r="B434"/>
    </row>
    <row r="435" spans="1:2" x14ac:dyDescent="0.25">
      <c r="A435"/>
      <c r="B435"/>
    </row>
    <row r="436" spans="1:2" x14ac:dyDescent="0.25">
      <c r="A436"/>
      <c r="B436"/>
    </row>
    <row r="437" spans="1:2" x14ac:dyDescent="0.25">
      <c r="A437"/>
      <c r="B437"/>
    </row>
    <row r="438" spans="1:2" x14ac:dyDescent="0.25">
      <c r="A438"/>
      <c r="B438"/>
    </row>
    <row r="439" spans="1:2" x14ac:dyDescent="0.25">
      <c r="A439"/>
      <c r="B439"/>
    </row>
    <row r="440" spans="1:2" x14ac:dyDescent="0.25">
      <c r="A440"/>
      <c r="B440"/>
    </row>
    <row r="441" spans="1:2" x14ac:dyDescent="0.25">
      <c r="A441"/>
      <c r="B441"/>
    </row>
    <row r="442" spans="1:2" x14ac:dyDescent="0.25">
      <c r="A442"/>
      <c r="B442"/>
    </row>
    <row r="443" spans="1:2" x14ac:dyDescent="0.25">
      <c r="A443"/>
      <c r="B443"/>
    </row>
    <row r="444" spans="1:2" x14ac:dyDescent="0.25">
      <c r="A444"/>
      <c r="B444"/>
    </row>
    <row r="445" spans="1:2" x14ac:dyDescent="0.25">
      <c r="A445"/>
      <c r="B445"/>
    </row>
    <row r="446" spans="1:2" x14ac:dyDescent="0.25">
      <c r="A446"/>
      <c r="B446"/>
    </row>
    <row r="447" spans="1:2" x14ac:dyDescent="0.25">
      <c r="A447"/>
      <c r="B447"/>
    </row>
    <row r="448" spans="1:2" x14ac:dyDescent="0.25">
      <c r="A448"/>
      <c r="B448"/>
    </row>
    <row r="449" spans="1:2" x14ac:dyDescent="0.25">
      <c r="A449"/>
      <c r="B449"/>
    </row>
    <row r="450" spans="1:2" x14ac:dyDescent="0.25">
      <c r="A450"/>
      <c r="B450"/>
    </row>
    <row r="451" spans="1:2" x14ac:dyDescent="0.25">
      <c r="A451"/>
      <c r="B451"/>
    </row>
    <row r="452" spans="1:2" x14ac:dyDescent="0.25">
      <c r="A452"/>
      <c r="B452"/>
    </row>
    <row r="453" spans="1:2" x14ac:dyDescent="0.25">
      <c r="A453"/>
      <c r="B453"/>
    </row>
    <row r="454" spans="1:2" x14ac:dyDescent="0.25">
      <c r="A454"/>
      <c r="B454"/>
    </row>
    <row r="455" spans="1:2" x14ac:dyDescent="0.25">
      <c r="A455"/>
      <c r="B455"/>
    </row>
    <row r="456" spans="1:2" x14ac:dyDescent="0.25">
      <c r="A456"/>
      <c r="B456"/>
    </row>
    <row r="457" spans="1:2" x14ac:dyDescent="0.25">
      <c r="A457"/>
      <c r="B457"/>
    </row>
    <row r="458" spans="1:2" x14ac:dyDescent="0.25">
      <c r="A458"/>
      <c r="B458"/>
    </row>
    <row r="459" spans="1:2" x14ac:dyDescent="0.25">
      <c r="A459"/>
      <c r="B459"/>
    </row>
    <row r="460" spans="1:2" x14ac:dyDescent="0.25">
      <c r="A460"/>
      <c r="B460"/>
    </row>
    <row r="461" spans="1:2" x14ac:dyDescent="0.25">
      <c r="A461"/>
      <c r="B461"/>
    </row>
    <row r="462" spans="1:2" x14ac:dyDescent="0.25">
      <c r="A462"/>
      <c r="B462"/>
    </row>
    <row r="463" spans="1:2" x14ac:dyDescent="0.25">
      <c r="A463"/>
      <c r="B463"/>
    </row>
    <row r="464" spans="1:2" x14ac:dyDescent="0.25">
      <c r="A464"/>
      <c r="B464"/>
    </row>
    <row r="465" spans="1:2" x14ac:dyDescent="0.25">
      <c r="A465"/>
      <c r="B465"/>
    </row>
    <row r="466" spans="1:2" x14ac:dyDescent="0.25">
      <c r="A466"/>
      <c r="B466"/>
    </row>
    <row r="467" spans="1:2" x14ac:dyDescent="0.25">
      <c r="A467"/>
      <c r="B467"/>
    </row>
    <row r="468" spans="1:2" x14ac:dyDescent="0.25">
      <c r="A468"/>
      <c r="B468"/>
    </row>
    <row r="469" spans="1:2" x14ac:dyDescent="0.25">
      <c r="A469"/>
      <c r="B469"/>
    </row>
    <row r="470" spans="1:2" x14ac:dyDescent="0.25">
      <c r="A470"/>
      <c r="B470"/>
    </row>
    <row r="471" spans="1:2" x14ac:dyDescent="0.25">
      <c r="A471"/>
      <c r="B471"/>
    </row>
    <row r="472" spans="1:2" x14ac:dyDescent="0.25">
      <c r="A472"/>
      <c r="B472"/>
    </row>
    <row r="473" spans="1:2" x14ac:dyDescent="0.25">
      <c r="A473"/>
      <c r="B473"/>
    </row>
    <row r="474" spans="1:2" x14ac:dyDescent="0.25">
      <c r="A474"/>
      <c r="B474"/>
    </row>
    <row r="475" spans="1:2" x14ac:dyDescent="0.25">
      <c r="A475"/>
      <c r="B475"/>
    </row>
    <row r="476" spans="1:2" x14ac:dyDescent="0.25">
      <c r="A476"/>
      <c r="B476"/>
    </row>
    <row r="477" spans="1:2" x14ac:dyDescent="0.25">
      <c r="A477"/>
      <c r="B477"/>
    </row>
    <row r="478" spans="1:2" x14ac:dyDescent="0.25">
      <c r="A478"/>
      <c r="B478"/>
    </row>
    <row r="479" spans="1:2" x14ac:dyDescent="0.25">
      <c r="A479"/>
      <c r="B479"/>
    </row>
    <row r="480" spans="1:2" x14ac:dyDescent="0.25">
      <c r="A480"/>
      <c r="B480"/>
    </row>
    <row r="481" spans="1:2" x14ac:dyDescent="0.25">
      <c r="A481"/>
      <c r="B481"/>
    </row>
    <row r="482" spans="1:2" x14ac:dyDescent="0.25">
      <c r="A482"/>
      <c r="B482"/>
    </row>
    <row r="483" spans="1:2" x14ac:dyDescent="0.25">
      <c r="A483"/>
      <c r="B483"/>
    </row>
    <row r="484" spans="1:2" x14ac:dyDescent="0.25">
      <c r="A484"/>
      <c r="B484"/>
    </row>
    <row r="485" spans="1:2" x14ac:dyDescent="0.25">
      <c r="A485"/>
      <c r="B485"/>
    </row>
    <row r="486" spans="1:2" x14ac:dyDescent="0.25">
      <c r="A486"/>
      <c r="B486"/>
    </row>
    <row r="487" spans="1:2" x14ac:dyDescent="0.25">
      <c r="A487"/>
      <c r="B487"/>
    </row>
    <row r="488" spans="1:2" x14ac:dyDescent="0.25">
      <c r="A488"/>
      <c r="B488"/>
    </row>
    <row r="489" spans="1:2" x14ac:dyDescent="0.25">
      <c r="A489"/>
      <c r="B489"/>
    </row>
    <row r="490" spans="1:2" x14ac:dyDescent="0.25">
      <c r="A490"/>
      <c r="B490"/>
    </row>
    <row r="491" spans="1:2" x14ac:dyDescent="0.25">
      <c r="A491"/>
      <c r="B491"/>
    </row>
    <row r="492" spans="1:2" x14ac:dyDescent="0.25">
      <c r="A492"/>
      <c r="B492"/>
    </row>
    <row r="493" spans="1:2" x14ac:dyDescent="0.25">
      <c r="A493"/>
      <c r="B493"/>
    </row>
    <row r="494" spans="1:2" x14ac:dyDescent="0.25">
      <c r="A494"/>
      <c r="B494"/>
    </row>
    <row r="495" spans="1:2" x14ac:dyDescent="0.25">
      <c r="A495"/>
      <c r="B495"/>
    </row>
    <row r="496" spans="1:2" x14ac:dyDescent="0.25">
      <c r="A496"/>
      <c r="B496"/>
    </row>
    <row r="497" spans="1:2" x14ac:dyDescent="0.25">
      <c r="A497"/>
      <c r="B497"/>
    </row>
    <row r="498" spans="1:2" x14ac:dyDescent="0.25">
      <c r="A498"/>
      <c r="B498"/>
    </row>
    <row r="499" spans="1:2" x14ac:dyDescent="0.25">
      <c r="A499"/>
      <c r="B499"/>
    </row>
    <row r="500" spans="1:2" x14ac:dyDescent="0.25">
      <c r="A500"/>
      <c r="B500"/>
    </row>
    <row r="501" spans="1:2" x14ac:dyDescent="0.25">
      <c r="A501"/>
      <c r="B501"/>
    </row>
    <row r="502" spans="1:2" x14ac:dyDescent="0.25">
      <c r="A502"/>
      <c r="B502"/>
    </row>
    <row r="503" spans="1:2" x14ac:dyDescent="0.25">
      <c r="A503"/>
      <c r="B503"/>
    </row>
    <row r="504" spans="1:2" x14ac:dyDescent="0.25">
      <c r="A504"/>
      <c r="B504"/>
    </row>
    <row r="505" spans="1:2" x14ac:dyDescent="0.25">
      <c r="A505"/>
      <c r="B505"/>
    </row>
    <row r="506" spans="1:2" x14ac:dyDescent="0.25">
      <c r="A506"/>
      <c r="B506"/>
    </row>
    <row r="507" spans="1:2" x14ac:dyDescent="0.25">
      <c r="A507"/>
      <c r="B507"/>
    </row>
    <row r="508" spans="1:2" x14ac:dyDescent="0.25">
      <c r="A508"/>
      <c r="B508"/>
    </row>
    <row r="509" spans="1:2" x14ac:dyDescent="0.25">
      <c r="A509"/>
      <c r="B509"/>
    </row>
    <row r="510" spans="1:2" x14ac:dyDescent="0.25">
      <c r="A510"/>
      <c r="B510"/>
    </row>
    <row r="511" spans="1:2" x14ac:dyDescent="0.25">
      <c r="A511"/>
      <c r="B511"/>
    </row>
    <row r="512" spans="1:2" x14ac:dyDescent="0.25">
      <c r="A512"/>
      <c r="B512"/>
    </row>
    <row r="513" spans="1:2" x14ac:dyDescent="0.25">
      <c r="A513"/>
      <c r="B513"/>
    </row>
    <row r="514" spans="1:2" x14ac:dyDescent="0.25">
      <c r="A514"/>
      <c r="B514"/>
    </row>
    <row r="515" spans="1:2" x14ac:dyDescent="0.25">
      <c r="A515"/>
      <c r="B515"/>
    </row>
    <row r="516" spans="1:2" x14ac:dyDescent="0.25">
      <c r="A516"/>
      <c r="B516"/>
    </row>
    <row r="517" spans="1:2" x14ac:dyDescent="0.25">
      <c r="A517"/>
      <c r="B517"/>
    </row>
    <row r="518" spans="1:2" x14ac:dyDescent="0.25">
      <c r="A518"/>
      <c r="B518"/>
    </row>
    <row r="519" spans="1:2" x14ac:dyDescent="0.25">
      <c r="A519"/>
      <c r="B519"/>
    </row>
    <row r="520" spans="1:2" x14ac:dyDescent="0.25">
      <c r="A520"/>
      <c r="B520"/>
    </row>
    <row r="521" spans="1:2" x14ac:dyDescent="0.25">
      <c r="A521"/>
      <c r="B521"/>
    </row>
    <row r="522" spans="1:2" x14ac:dyDescent="0.25">
      <c r="A522"/>
      <c r="B522"/>
    </row>
    <row r="523" spans="1:2" x14ac:dyDescent="0.25">
      <c r="A523"/>
      <c r="B523"/>
    </row>
    <row r="524" spans="1:2" x14ac:dyDescent="0.25">
      <c r="A524"/>
      <c r="B524"/>
    </row>
    <row r="525" spans="1:2" x14ac:dyDescent="0.25">
      <c r="A525"/>
      <c r="B525"/>
    </row>
    <row r="526" spans="1:2" x14ac:dyDescent="0.25">
      <c r="A526"/>
      <c r="B526"/>
    </row>
    <row r="527" spans="1:2" x14ac:dyDescent="0.25">
      <c r="A527"/>
      <c r="B527"/>
    </row>
    <row r="528" spans="1:2" x14ac:dyDescent="0.25">
      <c r="A528"/>
      <c r="B528"/>
    </row>
    <row r="529" spans="1:2" x14ac:dyDescent="0.25">
      <c r="A529"/>
      <c r="B529"/>
    </row>
    <row r="530" spans="1:2" x14ac:dyDescent="0.25">
      <c r="A530"/>
      <c r="B530"/>
    </row>
    <row r="531" spans="1:2" x14ac:dyDescent="0.25">
      <c r="A531"/>
      <c r="B531"/>
    </row>
    <row r="532" spans="1:2" x14ac:dyDescent="0.25">
      <c r="A532"/>
      <c r="B532"/>
    </row>
    <row r="533" spans="1:2" x14ac:dyDescent="0.25">
      <c r="A533"/>
      <c r="B533"/>
    </row>
    <row r="534" spans="1:2" x14ac:dyDescent="0.25">
      <c r="A534"/>
      <c r="B534"/>
    </row>
    <row r="535" spans="1:2" x14ac:dyDescent="0.25">
      <c r="A535"/>
      <c r="B535"/>
    </row>
    <row r="536" spans="1:2" x14ac:dyDescent="0.25">
      <c r="A536"/>
      <c r="B536"/>
    </row>
    <row r="537" spans="1:2" x14ac:dyDescent="0.25">
      <c r="A537"/>
      <c r="B537"/>
    </row>
    <row r="538" spans="1:2" x14ac:dyDescent="0.25">
      <c r="A538"/>
      <c r="B538"/>
    </row>
    <row r="539" spans="1:2" x14ac:dyDescent="0.25">
      <c r="A539"/>
      <c r="B539"/>
    </row>
    <row r="540" spans="1:2" x14ac:dyDescent="0.25">
      <c r="A540"/>
      <c r="B540"/>
    </row>
    <row r="541" spans="1:2" x14ac:dyDescent="0.25">
      <c r="A541"/>
      <c r="B541"/>
    </row>
    <row r="542" spans="1:2" x14ac:dyDescent="0.25">
      <c r="A542"/>
      <c r="B542"/>
    </row>
    <row r="543" spans="1:2" x14ac:dyDescent="0.25">
      <c r="A543"/>
      <c r="B543"/>
    </row>
    <row r="544" spans="1:2" x14ac:dyDescent="0.25">
      <c r="A544"/>
      <c r="B544"/>
    </row>
    <row r="545" spans="1:2" x14ac:dyDescent="0.25">
      <c r="A545"/>
      <c r="B545"/>
    </row>
    <row r="546" spans="1:2" x14ac:dyDescent="0.25">
      <c r="A546"/>
      <c r="B546"/>
    </row>
    <row r="547" spans="1:2" x14ac:dyDescent="0.25">
      <c r="A547"/>
      <c r="B547"/>
    </row>
    <row r="548" spans="1:2" x14ac:dyDescent="0.25">
      <c r="A548"/>
      <c r="B548"/>
    </row>
    <row r="549" spans="1:2" x14ac:dyDescent="0.25">
      <c r="A549"/>
      <c r="B549"/>
    </row>
    <row r="550" spans="1:2" x14ac:dyDescent="0.25">
      <c r="A550"/>
      <c r="B550"/>
    </row>
    <row r="551" spans="1:2" x14ac:dyDescent="0.25">
      <c r="A551"/>
      <c r="B551"/>
    </row>
    <row r="552" spans="1:2" x14ac:dyDescent="0.25">
      <c r="A552"/>
      <c r="B552"/>
    </row>
    <row r="553" spans="1:2" x14ac:dyDescent="0.25">
      <c r="A553"/>
      <c r="B553"/>
    </row>
    <row r="554" spans="1:2" x14ac:dyDescent="0.25">
      <c r="A554"/>
      <c r="B554"/>
    </row>
    <row r="555" spans="1:2" x14ac:dyDescent="0.25">
      <c r="A555"/>
      <c r="B555"/>
    </row>
    <row r="556" spans="1:2" x14ac:dyDescent="0.25">
      <c r="A556"/>
      <c r="B556"/>
    </row>
    <row r="557" spans="1:2" x14ac:dyDescent="0.25">
      <c r="A557"/>
      <c r="B557"/>
    </row>
    <row r="558" spans="1:2" x14ac:dyDescent="0.25">
      <c r="A558"/>
      <c r="B558"/>
    </row>
    <row r="559" spans="1:2" x14ac:dyDescent="0.25">
      <c r="A559"/>
      <c r="B559"/>
    </row>
    <row r="560" spans="1:2" x14ac:dyDescent="0.25">
      <c r="A560"/>
      <c r="B560"/>
    </row>
    <row r="561" spans="1:2" x14ac:dyDescent="0.25">
      <c r="A561"/>
      <c r="B561"/>
    </row>
    <row r="562" spans="1:2" x14ac:dyDescent="0.25">
      <c r="A562"/>
      <c r="B562"/>
    </row>
    <row r="563" spans="1:2" x14ac:dyDescent="0.25">
      <c r="A563"/>
      <c r="B563"/>
    </row>
    <row r="564" spans="1:2" x14ac:dyDescent="0.25">
      <c r="A564"/>
      <c r="B564"/>
    </row>
    <row r="565" spans="1:2" x14ac:dyDescent="0.25">
      <c r="A565"/>
      <c r="B565"/>
    </row>
    <row r="566" spans="1:2" x14ac:dyDescent="0.25">
      <c r="A566"/>
      <c r="B566"/>
    </row>
    <row r="567" spans="1:2" x14ac:dyDescent="0.25">
      <c r="A567"/>
      <c r="B567"/>
    </row>
    <row r="568" spans="1:2" x14ac:dyDescent="0.25">
      <c r="A568"/>
      <c r="B568"/>
    </row>
    <row r="569" spans="1:2" x14ac:dyDescent="0.25">
      <c r="A569"/>
      <c r="B569"/>
    </row>
    <row r="570" spans="1:2" x14ac:dyDescent="0.25">
      <c r="A570"/>
      <c r="B570"/>
    </row>
    <row r="571" spans="1:2" x14ac:dyDescent="0.25">
      <c r="A571"/>
      <c r="B571"/>
    </row>
    <row r="572" spans="1:2" x14ac:dyDescent="0.25">
      <c r="A572"/>
      <c r="B572"/>
    </row>
    <row r="573" spans="1:2" x14ac:dyDescent="0.25">
      <c r="A573"/>
      <c r="B573"/>
    </row>
    <row r="574" spans="1:2" x14ac:dyDescent="0.25">
      <c r="A574"/>
      <c r="B574"/>
    </row>
    <row r="575" spans="1:2" x14ac:dyDescent="0.25">
      <c r="A575"/>
      <c r="B575"/>
    </row>
    <row r="576" spans="1:2" x14ac:dyDescent="0.25">
      <c r="A576"/>
      <c r="B576"/>
    </row>
    <row r="577" spans="1:2" x14ac:dyDescent="0.25">
      <c r="A577"/>
      <c r="B577"/>
    </row>
    <row r="578" spans="1:2" x14ac:dyDescent="0.25">
      <c r="A578"/>
      <c r="B578"/>
    </row>
    <row r="579" spans="1:2" x14ac:dyDescent="0.25">
      <c r="A579"/>
      <c r="B579"/>
    </row>
    <row r="580" spans="1:2" x14ac:dyDescent="0.25">
      <c r="A580"/>
      <c r="B580"/>
    </row>
    <row r="581" spans="1:2" x14ac:dyDescent="0.25">
      <c r="A581"/>
      <c r="B581"/>
    </row>
    <row r="582" spans="1:2" x14ac:dyDescent="0.25">
      <c r="A582"/>
      <c r="B582"/>
    </row>
    <row r="583" spans="1:2" x14ac:dyDescent="0.25">
      <c r="A583"/>
      <c r="B583"/>
    </row>
    <row r="584" spans="1:2" x14ac:dyDescent="0.25">
      <c r="A584"/>
      <c r="B584"/>
    </row>
    <row r="585" spans="1:2" x14ac:dyDescent="0.25">
      <c r="A585"/>
      <c r="B585"/>
    </row>
    <row r="586" spans="1:2" x14ac:dyDescent="0.25">
      <c r="A586"/>
      <c r="B586"/>
    </row>
    <row r="587" spans="1:2" x14ac:dyDescent="0.25">
      <c r="A587"/>
      <c r="B587"/>
    </row>
    <row r="588" spans="1:2" x14ac:dyDescent="0.25">
      <c r="A588"/>
      <c r="B588"/>
    </row>
    <row r="589" spans="1:2" x14ac:dyDescent="0.25">
      <c r="A589"/>
      <c r="B589"/>
    </row>
    <row r="590" spans="1:2" x14ac:dyDescent="0.25">
      <c r="A590"/>
      <c r="B590"/>
    </row>
    <row r="591" spans="1:2" x14ac:dyDescent="0.25">
      <c r="A591"/>
      <c r="B591"/>
    </row>
    <row r="592" spans="1:2" x14ac:dyDescent="0.25">
      <c r="A592"/>
      <c r="B592"/>
    </row>
    <row r="593" spans="1:2" x14ac:dyDescent="0.25">
      <c r="A593"/>
      <c r="B593"/>
    </row>
    <row r="594" spans="1:2" x14ac:dyDescent="0.25">
      <c r="A594"/>
      <c r="B594"/>
    </row>
    <row r="595" spans="1:2" x14ac:dyDescent="0.25">
      <c r="A595"/>
      <c r="B595"/>
    </row>
    <row r="596" spans="1:2" x14ac:dyDescent="0.25">
      <c r="A596"/>
      <c r="B596"/>
    </row>
    <row r="597" spans="1:2" x14ac:dyDescent="0.25">
      <c r="A597"/>
      <c r="B597"/>
    </row>
    <row r="598" spans="1:2" x14ac:dyDescent="0.25">
      <c r="A598"/>
      <c r="B598"/>
    </row>
    <row r="599" spans="1:2" x14ac:dyDescent="0.25">
      <c r="A599"/>
      <c r="B599"/>
    </row>
    <row r="600" spans="1:2" x14ac:dyDescent="0.25">
      <c r="A600"/>
      <c r="B600"/>
    </row>
    <row r="601" spans="1:2" x14ac:dyDescent="0.25">
      <c r="A601"/>
      <c r="B601"/>
    </row>
    <row r="602" spans="1:2" x14ac:dyDescent="0.25">
      <c r="A602"/>
      <c r="B602"/>
    </row>
    <row r="603" spans="1:2" x14ac:dyDescent="0.25">
      <c r="A603"/>
      <c r="B603"/>
    </row>
    <row r="604" spans="1:2" x14ac:dyDescent="0.25">
      <c r="A604"/>
      <c r="B604"/>
    </row>
    <row r="605" spans="1:2" x14ac:dyDescent="0.25">
      <c r="A605"/>
      <c r="B605"/>
    </row>
    <row r="606" spans="1:2" x14ac:dyDescent="0.25">
      <c r="A606"/>
      <c r="B606"/>
    </row>
    <row r="607" spans="1:2" x14ac:dyDescent="0.25">
      <c r="A607"/>
      <c r="B607"/>
    </row>
    <row r="608" spans="1:2" x14ac:dyDescent="0.25">
      <c r="A608"/>
      <c r="B608"/>
    </row>
    <row r="609" spans="1:2" x14ac:dyDescent="0.25">
      <c r="A609"/>
      <c r="B609"/>
    </row>
    <row r="610" spans="1:2" x14ac:dyDescent="0.25">
      <c r="A610"/>
      <c r="B610"/>
    </row>
    <row r="611" spans="1:2" x14ac:dyDescent="0.25">
      <c r="A611"/>
      <c r="B611"/>
    </row>
    <row r="612" spans="1:2" x14ac:dyDescent="0.25">
      <c r="A612"/>
      <c r="B612"/>
    </row>
    <row r="613" spans="1:2" x14ac:dyDescent="0.25">
      <c r="A613"/>
      <c r="B613"/>
    </row>
    <row r="614" spans="1:2" x14ac:dyDescent="0.25">
      <c r="A614"/>
      <c r="B614"/>
    </row>
    <row r="615" spans="1:2" x14ac:dyDescent="0.25">
      <c r="A615"/>
      <c r="B615"/>
    </row>
    <row r="616" spans="1:2" x14ac:dyDescent="0.25">
      <c r="A616"/>
      <c r="B616"/>
    </row>
    <row r="617" spans="1:2" x14ac:dyDescent="0.25">
      <c r="A617"/>
      <c r="B617"/>
    </row>
    <row r="618" spans="1:2" x14ac:dyDescent="0.25">
      <c r="A618"/>
      <c r="B618"/>
    </row>
    <row r="619" spans="1:2" x14ac:dyDescent="0.25">
      <c r="A619"/>
      <c r="B619"/>
    </row>
    <row r="620" spans="1:2" x14ac:dyDescent="0.25">
      <c r="A620"/>
      <c r="B620"/>
    </row>
    <row r="621" spans="1:2" x14ac:dyDescent="0.25">
      <c r="A621"/>
      <c r="B621"/>
    </row>
    <row r="622" spans="1:2" x14ac:dyDescent="0.25">
      <c r="A622"/>
      <c r="B622"/>
    </row>
    <row r="623" spans="1:2" x14ac:dyDescent="0.25">
      <c r="A623"/>
      <c r="B623"/>
    </row>
    <row r="624" spans="1:2" x14ac:dyDescent="0.25">
      <c r="A624"/>
      <c r="B624"/>
    </row>
    <row r="625" spans="1:2" x14ac:dyDescent="0.25">
      <c r="A625"/>
      <c r="B625"/>
    </row>
    <row r="626" spans="1:2" x14ac:dyDescent="0.25">
      <c r="A626"/>
      <c r="B626"/>
    </row>
    <row r="627" spans="1:2" x14ac:dyDescent="0.25">
      <c r="A627"/>
      <c r="B627"/>
    </row>
    <row r="628" spans="1:2" x14ac:dyDescent="0.25">
      <c r="A628"/>
      <c r="B628"/>
    </row>
    <row r="629" spans="1:2" x14ac:dyDescent="0.25">
      <c r="A629"/>
      <c r="B629"/>
    </row>
    <row r="630" spans="1:2" x14ac:dyDescent="0.25">
      <c r="A630"/>
      <c r="B630"/>
    </row>
    <row r="631" spans="1:2" x14ac:dyDescent="0.25">
      <c r="A631"/>
      <c r="B631"/>
    </row>
    <row r="632" spans="1:2" x14ac:dyDescent="0.25">
      <c r="A632"/>
      <c r="B632"/>
    </row>
    <row r="633" spans="1:2" x14ac:dyDescent="0.25">
      <c r="A633"/>
      <c r="B633"/>
    </row>
    <row r="634" spans="1:2" x14ac:dyDescent="0.25">
      <c r="A634"/>
      <c r="B634"/>
    </row>
    <row r="635" spans="1:2" x14ac:dyDescent="0.25">
      <c r="A635"/>
      <c r="B635"/>
    </row>
    <row r="636" spans="1:2" x14ac:dyDescent="0.25">
      <c r="A636"/>
      <c r="B636"/>
    </row>
    <row r="637" spans="1:2" x14ac:dyDescent="0.25">
      <c r="A637"/>
      <c r="B637"/>
    </row>
    <row r="638" spans="1:2" x14ac:dyDescent="0.25">
      <c r="A638"/>
      <c r="B638"/>
    </row>
    <row r="639" spans="1:2" x14ac:dyDescent="0.25">
      <c r="A639"/>
      <c r="B639"/>
    </row>
    <row r="640" spans="1:2" x14ac:dyDescent="0.25">
      <c r="A640"/>
      <c r="B640"/>
    </row>
    <row r="641" spans="1:2" x14ac:dyDescent="0.25">
      <c r="A641"/>
      <c r="B641"/>
    </row>
    <row r="642" spans="1:2" x14ac:dyDescent="0.25">
      <c r="A642"/>
      <c r="B642"/>
    </row>
    <row r="643" spans="1:2" x14ac:dyDescent="0.25">
      <c r="A643"/>
      <c r="B643"/>
    </row>
    <row r="644" spans="1:2" x14ac:dyDescent="0.25">
      <c r="A644"/>
      <c r="B644"/>
    </row>
    <row r="645" spans="1:2" x14ac:dyDescent="0.25">
      <c r="A645"/>
      <c r="B645"/>
    </row>
    <row r="646" spans="1:2" x14ac:dyDescent="0.25">
      <c r="A646"/>
      <c r="B646"/>
    </row>
    <row r="647" spans="1:2" x14ac:dyDescent="0.25">
      <c r="A647"/>
      <c r="B647"/>
    </row>
    <row r="648" spans="1:2" x14ac:dyDescent="0.25">
      <c r="A648"/>
      <c r="B648"/>
    </row>
    <row r="649" spans="1:2" x14ac:dyDescent="0.25">
      <c r="A649"/>
      <c r="B649"/>
    </row>
    <row r="650" spans="1:2" x14ac:dyDescent="0.25">
      <c r="A650"/>
      <c r="B650"/>
    </row>
    <row r="651" spans="1:2" x14ac:dyDescent="0.25">
      <c r="A651"/>
      <c r="B651"/>
    </row>
    <row r="652" spans="1:2" x14ac:dyDescent="0.25">
      <c r="A652"/>
      <c r="B652"/>
    </row>
    <row r="653" spans="1:2" x14ac:dyDescent="0.25">
      <c r="A653"/>
      <c r="B653"/>
    </row>
    <row r="654" spans="1:2" x14ac:dyDescent="0.25">
      <c r="A654"/>
      <c r="B654"/>
    </row>
    <row r="655" spans="1:2" x14ac:dyDescent="0.25">
      <c r="A655"/>
      <c r="B655"/>
    </row>
    <row r="656" spans="1:2" x14ac:dyDescent="0.25">
      <c r="A656"/>
      <c r="B656"/>
    </row>
    <row r="657" spans="1:2" x14ac:dyDescent="0.25">
      <c r="A657"/>
      <c r="B657"/>
    </row>
    <row r="658" spans="1:2" x14ac:dyDescent="0.25">
      <c r="A658"/>
      <c r="B658"/>
    </row>
    <row r="659" spans="1:2" x14ac:dyDescent="0.25">
      <c r="A659"/>
      <c r="B659"/>
    </row>
    <row r="660" spans="1:2" x14ac:dyDescent="0.25">
      <c r="A660"/>
      <c r="B660"/>
    </row>
    <row r="661" spans="1:2" x14ac:dyDescent="0.25">
      <c r="A661"/>
      <c r="B661"/>
    </row>
    <row r="662" spans="1:2" x14ac:dyDescent="0.25">
      <c r="A662"/>
      <c r="B662"/>
    </row>
    <row r="663" spans="1:2" x14ac:dyDescent="0.25">
      <c r="A663"/>
      <c r="B663"/>
    </row>
    <row r="664" spans="1:2" x14ac:dyDescent="0.25">
      <c r="A664"/>
      <c r="B664"/>
    </row>
    <row r="665" spans="1:2" x14ac:dyDescent="0.25">
      <c r="A665"/>
      <c r="B665"/>
    </row>
    <row r="666" spans="1:2" x14ac:dyDescent="0.25">
      <c r="A666"/>
      <c r="B666"/>
    </row>
    <row r="667" spans="1:2" x14ac:dyDescent="0.25">
      <c r="A667"/>
      <c r="B667"/>
    </row>
    <row r="668" spans="1:2" x14ac:dyDescent="0.25">
      <c r="A668"/>
      <c r="B668"/>
    </row>
    <row r="669" spans="1:2" x14ac:dyDescent="0.25">
      <c r="A669"/>
      <c r="B669"/>
    </row>
    <row r="670" spans="1:2" x14ac:dyDescent="0.25">
      <c r="A670"/>
      <c r="B670"/>
    </row>
    <row r="671" spans="1:2" x14ac:dyDescent="0.25">
      <c r="A671"/>
      <c r="B671"/>
    </row>
    <row r="672" spans="1:2" x14ac:dyDescent="0.25">
      <c r="A672"/>
      <c r="B672"/>
    </row>
    <row r="673" spans="1:2" x14ac:dyDescent="0.25">
      <c r="A673"/>
      <c r="B673"/>
    </row>
    <row r="674" spans="1:2" x14ac:dyDescent="0.25">
      <c r="A674"/>
      <c r="B674"/>
    </row>
    <row r="675" spans="1:2" x14ac:dyDescent="0.25">
      <c r="A675"/>
      <c r="B675"/>
    </row>
    <row r="676" spans="1:2" x14ac:dyDescent="0.25">
      <c r="A676"/>
      <c r="B676"/>
    </row>
    <row r="677" spans="1:2" x14ac:dyDescent="0.25">
      <c r="A677"/>
      <c r="B677"/>
    </row>
    <row r="678" spans="1:2" x14ac:dyDescent="0.25">
      <c r="A678"/>
      <c r="B678"/>
    </row>
    <row r="679" spans="1:2" x14ac:dyDescent="0.25">
      <c r="A679"/>
      <c r="B679"/>
    </row>
    <row r="680" spans="1:2" x14ac:dyDescent="0.25">
      <c r="A680"/>
      <c r="B680"/>
    </row>
    <row r="681" spans="1:2" x14ac:dyDescent="0.25">
      <c r="A681"/>
      <c r="B681"/>
    </row>
    <row r="682" spans="1:2" x14ac:dyDescent="0.25">
      <c r="A682"/>
      <c r="B682"/>
    </row>
    <row r="683" spans="1:2" x14ac:dyDescent="0.25">
      <c r="A683"/>
      <c r="B683"/>
    </row>
    <row r="684" spans="1:2" x14ac:dyDescent="0.25">
      <c r="A684"/>
      <c r="B684"/>
    </row>
    <row r="685" spans="1:2" x14ac:dyDescent="0.25">
      <c r="A685"/>
      <c r="B685"/>
    </row>
    <row r="686" spans="1:2" x14ac:dyDescent="0.25">
      <c r="A686"/>
      <c r="B686"/>
    </row>
    <row r="687" spans="1:2" x14ac:dyDescent="0.25">
      <c r="A687"/>
      <c r="B687"/>
    </row>
    <row r="688" spans="1:2" x14ac:dyDescent="0.25">
      <c r="A688"/>
      <c r="B688"/>
    </row>
    <row r="689" spans="1:2" x14ac:dyDescent="0.25">
      <c r="A689"/>
      <c r="B689"/>
    </row>
    <row r="690" spans="1:2" x14ac:dyDescent="0.25">
      <c r="A690"/>
      <c r="B690"/>
    </row>
    <row r="691" spans="1:2" x14ac:dyDescent="0.25">
      <c r="A691"/>
      <c r="B691"/>
    </row>
    <row r="692" spans="1:2" x14ac:dyDescent="0.25">
      <c r="A692"/>
      <c r="B692"/>
    </row>
    <row r="693" spans="1:2" x14ac:dyDescent="0.25">
      <c r="A693"/>
      <c r="B693"/>
    </row>
    <row r="694" spans="1:2" x14ac:dyDescent="0.25">
      <c r="A694"/>
      <c r="B694"/>
    </row>
    <row r="695" spans="1:2" x14ac:dyDescent="0.25">
      <c r="A695"/>
      <c r="B695"/>
    </row>
    <row r="696" spans="1:2" x14ac:dyDescent="0.25">
      <c r="A696"/>
      <c r="B696"/>
    </row>
    <row r="697" spans="1:2" x14ac:dyDescent="0.25">
      <c r="A697"/>
      <c r="B697"/>
    </row>
    <row r="698" spans="1:2" x14ac:dyDescent="0.25">
      <c r="A698"/>
      <c r="B698"/>
    </row>
    <row r="699" spans="1:2" x14ac:dyDescent="0.25">
      <c r="A699"/>
      <c r="B699"/>
    </row>
    <row r="700" spans="1:2" x14ac:dyDescent="0.25">
      <c r="A700"/>
      <c r="B700"/>
    </row>
    <row r="701" spans="1:2" x14ac:dyDescent="0.25">
      <c r="A701"/>
      <c r="B701"/>
    </row>
    <row r="702" spans="1:2" x14ac:dyDescent="0.25">
      <c r="A702"/>
      <c r="B702"/>
    </row>
    <row r="703" spans="1:2" x14ac:dyDescent="0.25">
      <c r="A703"/>
      <c r="B703"/>
    </row>
    <row r="704" spans="1:2" x14ac:dyDescent="0.25">
      <c r="A704"/>
      <c r="B704"/>
    </row>
    <row r="705" spans="1:2" x14ac:dyDescent="0.25">
      <c r="A705"/>
      <c r="B705"/>
    </row>
    <row r="706" spans="1:2" x14ac:dyDescent="0.25">
      <c r="A706"/>
      <c r="B706"/>
    </row>
    <row r="707" spans="1:2" x14ac:dyDescent="0.25">
      <c r="A707"/>
      <c r="B707"/>
    </row>
    <row r="708" spans="1:2" x14ac:dyDescent="0.25">
      <c r="A708"/>
      <c r="B708"/>
    </row>
    <row r="709" spans="1:2" x14ac:dyDescent="0.25">
      <c r="A709"/>
      <c r="B709"/>
    </row>
    <row r="710" spans="1:2" x14ac:dyDescent="0.25">
      <c r="A710"/>
      <c r="B710"/>
    </row>
    <row r="711" spans="1:2" x14ac:dyDescent="0.25">
      <c r="A711"/>
      <c r="B711"/>
    </row>
    <row r="712" spans="1:2" x14ac:dyDescent="0.25">
      <c r="A712"/>
      <c r="B712"/>
    </row>
    <row r="713" spans="1:2" x14ac:dyDescent="0.25">
      <c r="A713"/>
      <c r="B713"/>
    </row>
    <row r="714" spans="1:2" x14ac:dyDescent="0.25">
      <c r="A714"/>
      <c r="B714"/>
    </row>
    <row r="715" spans="1:2" x14ac:dyDescent="0.25">
      <c r="A715"/>
      <c r="B715"/>
    </row>
    <row r="716" spans="1:2" x14ac:dyDescent="0.25">
      <c r="A716"/>
      <c r="B716"/>
    </row>
    <row r="717" spans="1:2" x14ac:dyDescent="0.25">
      <c r="A717"/>
      <c r="B717"/>
    </row>
    <row r="718" spans="1:2" x14ac:dyDescent="0.25">
      <c r="A718"/>
      <c r="B718"/>
    </row>
    <row r="719" spans="1:2" x14ac:dyDescent="0.25">
      <c r="A719"/>
      <c r="B719"/>
    </row>
    <row r="720" spans="1:2" x14ac:dyDescent="0.25">
      <c r="A720"/>
      <c r="B720"/>
    </row>
    <row r="721" spans="1:2" x14ac:dyDescent="0.25">
      <c r="A721"/>
      <c r="B721"/>
    </row>
    <row r="722" spans="1:2" x14ac:dyDescent="0.25">
      <c r="A722"/>
      <c r="B722"/>
    </row>
    <row r="723" spans="1:2" x14ac:dyDescent="0.25">
      <c r="A723"/>
      <c r="B723"/>
    </row>
    <row r="724" spans="1:2" x14ac:dyDescent="0.25">
      <c r="A724"/>
      <c r="B724"/>
    </row>
    <row r="725" spans="1:2" x14ac:dyDescent="0.25">
      <c r="A725"/>
      <c r="B725"/>
    </row>
    <row r="726" spans="1:2" x14ac:dyDescent="0.25">
      <c r="A726"/>
      <c r="B726"/>
    </row>
    <row r="727" spans="1:2" x14ac:dyDescent="0.25">
      <c r="A727"/>
      <c r="B727"/>
    </row>
    <row r="728" spans="1:2" x14ac:dyDescent="0.25">
      <c r="A728"/>
      <c r="B728"/>
    </row>
    <row r="729" spans="1:2" x14ac:dyDescent="0.25">
      <c r="A729"/>
      <c r="B729"/>
    </row>
    <row r="730" spans="1:2" x14ac:dyDescent="0.25">
      <c r="A730"/>
      <c r="B730"/>
    </row>
    <row r="731" spans="1:2" x14ac:dyDescent="0.25">
      <c r="A731"/>
      <c r="B731"/>
    </row>
    <row r="732" spans="1:2" x14ac:dyDescent="0.25">
      <c r="A732"/>
      <c r="B732"/>
    </row>
    <row r="733" spans="1:2" x14ac:dyDescent="0.25">
      <c r="A733"/>
      <c r="B733"/>
    </row>
    <row r="734" spans="1:2" x14ac:dyDescent="0.25">
      <c r="A734"/>
      <c r="B734"/>
    </row>
    <row r="735" spans="1:2" x14ac:dyDescent="0.25">
      <c r="A735"/>
      <c r="B735"/>
    </row>
    <row r="736" spans="1:2" x14ac:dyDescent="0.25">
      <c r="A736"/>
      <c r="B736"/>
    </row>
    <row r="737" spans="1:2" x14ac:dyDescent="0.25">
      <c r="A737"/>
      <c r="B737"/>
    </row>
    <row r="738" spans="1:2" x14ac:dyDescent="0.25">
      <c r="A738"/>
      <c r="B738"/>
    </row>
    <row r="739" spans="1:2" x14ac:dyDescent="0.25">
      <c r="A739"/>
      <c r="B739"/>
    </row>
    <row r="740" spans="1:2" x14ac:dyDescent="0.25">
      <c r="A740"/>
      <c r="B740"/>
    </row>
    <row r="741" spans="1:2" x14ac:dyDescent="0.25">
      <c r="A741"/>
      <c r="B741"/>
    </row>
    <row r="742" spans="1:2" x14ac:dyDescent="0.25">
      <c r="A742"/>
      <c r="B742"/>
    </row>
    <row r="743" spans="1:2" x14ac:dyDescent="0.25">
      <c r="A743"/>
      <c r="B743"/>
    </row>
    <row r="744" spans="1:2" x14ac:dyDescent="0.25">
      <c r="A744"/>
      <c r="B744"/>
    </row>
  </sheetData>
  <sheetProtection autoFilter="0"/>
  <autoFilter ref="A6:E182" xr:uid="{00000000-0009-0000-0000-000008000000}"/>
  <sortState xmlns:xlrd2="http://schemas.microsoft.com/office/spreadsheetml/2017/richdata2" ref="A8:B182">
    <sortCondition ref="A8:A182"/>
  </sortState>
  <pageMargins left="0.7" right="0.7" top="0.75" bottom="0.75" header="0.3" footer="0.3"/>
  <pageSetup paperSize="9" orientation="portrait" r:id="rId1"/>
  <headerFooter>
    <oddHeader>&amp;L&amp;"arial,Bold"&amp;11&amp;K008040Classification: OFFICIAL</oddHeader>
    <oddFooter>&amp;L&amp;"arial,Bold"&amp;11&amp;K008040Classification: OFFICIAL</oddFooter>
    <evenHeader>&amp;L&amp;"arial,Bold"&amp;11&amp;K008040Classification: OFFICIAL</evenHeader>
    <evenFooter>&amp;L&amp;"arial,Bold"&amp;11&amp;K008040Classification: OFFICIAL</evenFooter>
    <firstHeader>&amp;L&amp;"arial,Bold"&amp;11&amp;K008040Classification: OFFICIAL</firstHeader>
    <firstFooter>&amp;L&amp;"arial,Bold"&amp;11&amp;K008040Classification: OFFICIAL</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7030A0"/>
  </sheetPr>
  <dimension ref="A1:T14"/>
  <sheetViews>
    <sheetView workbookViewId="0"/>
  </sheetViews>
  <sheetFormatPr defaultColWidth="9.1796875" defaultRowHeight="12.5" x14ac:dyDescent="0.25"/>
  <cols>
    <col min="1" max="1" width="22.81640625" style="474" bestFit="1" customWidth="1"/>
    <col min="2" max="2" width="6.81640625" style="474" bestFit="1" customWidth="1"/>
    <col min="3" max="7" width="9.1796875" style="1" customWidth="1"/>
    <col min="8" max="16384" width="9.1796875" style="1"/>
  </cols>
  <sheetData>
    <row r="1" spans="1:20" ht="13.25" customHeight="1" x14ac:dyDescent="0.25">
      <c r="B1" s="475"/>
      <c r="C1" s="46"/>
      <c r="D1" s="46"/>
      <c r="E1" s="46"/>
      <c r="F1" s="46"/>
      <c r="G1" s="43"/>
      <c r="H1" s="43"/>
    </row>
    <row r="2" spans="1:20" x14ac:dyDescent="0.25">
      <c r="B2" s="475"/>
      <c r="C2" s="46"/>
      <c r="D2" s="46"/>
      <c r="E2" s="46"/>
      <c r="F2" s="46"/>
    </row>
    <row r="3" spans="1:20" x14ac:dyDescent="0.25">
      <c r="B3" s="475"/>
      <c r="C3" s="46"/>
      <c r="D3" s="46"/>
      <c r="E3" s="46"/>
      <c r="F3" s="46"/>
    </row>
    <row r="5" spans="1:20" x14ac:dyDescent="0.25">
      <c r="A5" s="474" t="s">
        <v>1</v>
      </c>
      <c r="B5" s="474" t="s">
        <v>268</v>
      </c>
    </row>
    <row r="6" spans="1:20" x14ac:dyDescent="0.25">
      <c r="A6" s="474" t="s">
        <v>263</v>
      </c>
      <c r="B6" s="474">
        <v>147491</v>
      </c>
      <c r="T6" s="39"/>
    </row>
    <row r="7" spans="1:20" x14ac:dyDescent="0.25">
      <c r="A7" s="474" t="s">
        <v>1100</v>
      </c>
      <c r="B7" s="474">
        <v>147132</v>
      </c>
      <c r="T7" s="39"/>
    </row>
    <row r="8" spans="1:20" x14ac:dyDescent="0.25">
      <c r="A8" s="474" t="s">
        <v>1101</v>
      </c>
      <c r="B8" s="474">
        <v>147137</v>
      </c>
    </row>
    <row r="9" spans="1:20" x14ac:dyDescent="0.25">
      <c r="A9" s="474" t="s">
        <v>1102</v>
      </c>
      <c r="B9" s="474">
        <v>147558</v>
      </c>
    </row>
    <row r="10" spans="1:20" x14ac:dyDescent="0.25">
      <c r="A10" s="474" t="s">
        <v>1103</v>
      </c>
      <c r="B10" s="474">
        <v>147143</v>
      </c>
    </row>
    <row r="11" spans="1:20" x14ac:dyDescent="0.25">
      <c r="A11" s="474" t="s">
        <v>266</v>
      </c>
      <c r="B11" s="474">
        <v>135345</v>
      </c>
    </row>
    <row r="13" spans="1:20" x14ac:dyDescent="0.25">
      <c r="A13" s="474" t="s">
        <v>155</v>
      </c>
      <c r="B13" s="474">
        <v>136071</v>
      </c>
    </row>
    <row r="14" spans="1:20" x14ac:dyDescent="0.25">
      <c r="A14" s="474" t="s">
        <v>1107</v>
      </c>
      <c r="B14" s="474">
        <v>138277</v>
      </c>
    </row>
  </sheetData>
  <sheetProtection selectLockedCells="1" selectUnlockedCells="1"/>
  <pageMargins left="0.7" right="0.7" top="0.75" bottom="0.75" header="0.3" footer="0.3"/>
  <pageSetup paperSize="9" orientation="portrait" r:id="rId1"/>
  <headerFooter>
    <oddHeader>&amp;L&amp;"arial,Bold"&amp;11&amp;K008040Classification: OFFICIAL</oddHeader>
    <oddFooter>&amp;L&amp;"arial,Bold"&amp;11&amp;K008040Classification: OFFICIAL</oddFooter>
    <evenHeader>&amp;L&amp;"arial,Bold"&amp;11&amp;K008040Classification: OFFICIAL</evenHeader>
    <evenFooter>&amp;L&amp;"arial,Bold"&amp;11&amp;K008040Classification: OFFICIAL</evenFooter>
    <firstHeader>&amp;L&amp;"arial,Bold"&amp;11&amp;K008040Classification: OFFICIAL</firstHeader>
    <firstFooter>&amp;L&amp;"arial,Bold"&amp;11&amp;K008040Classification: OFFICIAL</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2489A-A35C-4E74-9ED9-2633D7047312}">
  <sheetPr codeName="Sheet21">
    <tabColor rgb="FFFF0000"/>
  </sheetPr>
  <dimension ref="A1:E244"/>
  <sheetViews>
    <sheetView workbookViewId="0"/>
  </sheetViews>
  <sheetFormatPr defaultRowHeight="12.5" x14ac:dyDescent="0.25"/>
  <cols>
    <col min="1" max="1" width="72.1796875" customWidth="1"/>
    <col min="2" max="2" width="15.54296875" customWidth="1"/>
    <col min="3" max="3" width="15" customWidth="1"/>
    <col min="4" max="4" width="13" customWidth="1"/>
    <col min="5" max="5" width="13.1796875" customWidth="1"/>
  </cols>
  <sheetData>
    <row r="1" spans="1:5" x14ac:dyDescent="0.25">
      <c r="A1" s="24" t="s">
        <v>757</v>
      </c>
      <c r="B1" s="24"/>
      <c r="C1" s="25">
        <v>12345</v>
      </c>
      <c r="D1" s="26"/>
      <c r="E1" s="25"/>
    </row>
    <row r="2" spans="1:5" ht="13" x14ac:dyDescent="0.25">
      <c r="A2" s="27" t="s">
        <v>763</v>
      </c>
      <c r="B2" s="27"/>
      <c r="C2" s="28" t="s">
        <v>60</v>
      </c>
      <c r="D2" s="25">
        <v>6</v>
      </c>
      <c r="E2" s="29">
        <v>6</v>
      </c>
    </row>
    <row r="3" spans="1:5" x14ac:dyDescent="0.25">
      <c r="A3" s="30" t="s">
        <v>328</v>
      </c>
      <c r="B3" s="31" t="s">
        <v>647</v>
      </c>
      <c r="C3" s="31">
        <v>206189</v>
      </c>
      <c r="D3" s="31" t="s">
        <v>648</v>
      </c>
      <c r="E3" s="31">
        <v>4</v>
      </c>
    </row>
    <row r="4" spans="1:5" x14ac:dyDescent="0.25">
      <c r="A4" s="30" t="s">
        <v>97</v>
      </c>
      <c r="B4" s="31">
        <v>8312014</v>
      </c>
      <c r="C4" s="31">
        <v>2014</v>
      </c>
      <c r="D4" s="31">
        <v>0</v>
      </c>
      <c r="E4" s="31">
        <v>0</v>
      </c>
    </row>
    <row r="5" spans="1:5" x14ac:dyDescent="0.25">
      <c r="A5" s="30" t="s">
        <v>95</v>
      </c>
      <c r="B5" s="31">
        <v>8312012</v>
      </c>
      <c r="C5" s="31">
        <v>2012</v>
      </c>
      <c r="D5" s="31">
        <v>0</v>
      </c>
      <c r="E5" s="31">
        <v>0</v>
      </c>
    </row>
    <row r="6" spans="1:5" x14ac:dyDescent="0.25">
      <c r="A6" s="30" t="s">
        <v>148</v>
      </c>
      <c r="B6" s="31">
        <v>8315414</v>
      </c>
      <c r="C6" s="31">
        <v>5414</v>
      </c>
      <c r="D6" s="31">
        <v>0</v>
      </c>
      <c r="E6" s="31">
        <v>0</v>
      </c>
    </row>
    <row r="7" spans="1:5" x14ac:dyDescent="0.25">
      <c r="A7" s="30" t="s">
        <v>329</v>
      </c>
      <c r="B7" s="31"/>
      <c r="C7" s="31">
        <v>2579160</v>
      </c>
      <c r="D7" s="31" t="s">
        <v>588</v>
      </c>
      <c r="E7" s="31">
        <v>3</v>
      </c>
    </row>
    <row r="8" spans="1:5" x14ac:dyDescent="0.25">
      <c r="A8" s="30" t="s">
        <v>70</v>
      </c>
      <c r="B8" s="31" t="s">
        <v>602</v>
      </c>
      <c r="C8" s="31">
        <v>2443</v>
      </c>
      <c r="D8" s="31" t="s">
        <v>603</v>
      </c>
      <c r="E8" s="31">
        <v>1</v>
      </c>
    </row>
    <row r="9" spans="1:5" x14ac:dyDescent="0.25">
      <c r="A9" s="30" t="s">
        <v>111</v>
      </c>
      <c r="B9" s="31">
        <v>8312442</v>
      </c>
      <c r="C9" s="31">
        <v>2442</v>
      </c>
      <c r="D9" s="31">
        <v>0</v>
      </c>
      <c r="E9" s="31">
        <v>0</v>
      </c>
    </row>
    <row r="10" spans="1:5" x14ac:dyDescent="0.25">
      <c r="A10" s="30" t="s">
        <v>143</v>
      </c>
      <c r="B10" s="31">
        <v>8314011</v>
      </c>
      <c r="C10" s="31">
        <v>4011</v>
      </c>
      <c r="D10" s="31">
        <v>0</v>
      </c>
      <c r="E10" s="31">
        <v>0</v>
      </c>
    </row>
    <row r="11" spans="1:5" x14ac:dyDescent="0.25">
      <c r="A11" s="30" t="s">
        <v>331</v>
      </c>
      <c r="B11" s="31" t="s">
        <v>650</v>
      </c>
      <c r="C11" s="31" t="s">
        <v>330</v>
      </c>
      <c r="D11" s="31" t="s">
        <v>648</v>
      </c>
      <c r="E11" s="31">
        <v>4</v>
      </c>
    </row>
    <row r="12" spans="1:5" x14ac:dyDescent="0.25">
      <c r="A12" s="30" t="s">
        <v>123</v>
      </c>
      <c r="B12" s="31">
        <v>8312629</v>
      </c>
      <c r="C12" s="31">
        <v>2629</v>
      </c>
      <c r="D12" s="31" t="s">
        <v>626</v>
      </c>
      <c r="E12" s="31">
        <v>1</v>
      </c>
    </row>
    <row r="13" spans="1:5" x14ac:dyDescent="0.25">
      <c r="A13" s="30" t="s">
        <v>120</v>
      </c>
      <c r="B13" s="31">
        <v>8312509</v>
      </c>
      <c r="C13" s="31">
        <v>2509</v>
      </c>
      <c r="D13" s="31" t="s">
        <v>626</v>
      </c>
      <c r="E13" s="31">
        <v>1</v>
      </c>
    </row>
    <row r="14" spans="1:5" x14ac:dyDescent="0.25">
      <c r="A14" s="30" t="s">
        <v>321</v>
      </c>
      <c r="B14" s="31" t="s">
        <v>604</v>
      </c>
      <c r="C14" s="31">
        <v>1014</v>
      </c>
      <c r="D14" s="31" t="s">
        <v>589</v>
      </c>
      <c r="E14" s="31">
        <v>2</v>
      </c>
    </row>
    <row r="15" spans="1:5" x14ac:dyDescent="0.25">
      <c r="A15" s="30" t="s">
        <v>63</v>
      </c>
      <c r="B15" s="31">
        <v>8312005</v>
      </c>
      <c r="C15" s="31">
        <v>2005</v>
      </c>
      <c r="D15" s="31" t="s">
        <v>603</v>
      </c>
      <c r="E15" s="31">
        <v>0</v>
      </c>
    </row>
    <row r="16" spans="1:5" x14ac:dyDescent="0.25">
      <c r="A16" s="30" t="s">
        <v>103</v>
      </c>
      <c r="B16" s="31">
        <v>8312021</v>
      </c>
      <c r="C16" s="31">
        <v>2021</v>
      </c>
      <c r="D16" s="31" t="s">
        <v>626</v>
      </c>
      <c r="E16" s="31">
        <v>1</v>
      </c>
    </row>
    <row r="17" spans="1:5" x14ac:dyDescent="0.25">
      <c r="A17" s="30" t="s">
        <v>116</v>
      </c>
      <c r="B17" s="31">
        <v>8312464</v>
      </c>
      <c r="C17" s="31">
        <v>2464</v>
      </c>
      <c r="D17" s="31" t="s">
        <v>626</v>
      </c>
      <c r="E17" s="31">
        <v>1</v>
      </c>
    </row>
    <row r="18" spans="1:5" x14ac:dyDescent="0.25">
      <c r="A18" s="30" t="s">
        <v>88</v>
      </c>
      <c r="B18" s="31">
        <v>8312004</v>
      </c>
      <c r="C18" s="31">
        <v>2004</v>
      </c>
      <c r="D18" s="31" t="s">
        <v>626</v>
      </c>
      <c r="E18" s="31">
        <v>1</v>
      </c>
    </row>
    <row r="19" spans="1:5" x14ac:dyDescent="0.25">
      <c r="A19" s="30" t="s">
        <v>64</v>
      </c>
      <c r="B19" s="31" t="s">
        <v>605</v>
      </c>
      <c r="C19" s="31">
        <v>2405</v>
      </c>
      <c r="D19" s="31" t="s">
        <v>603</v>
      </c>
      <c r="E19" s="31">
        <v>1</v>
      </c>
    </row>
    <row r="20" spans="1:5" x14ac:dyDescent="0.25">
      <c r="A20" s="30" t="s">
        <v>165</v>
      </c>
      <c r="B20" s="31" t="s">
        <v>651</v>
      </c>
      <c r="C20" s="31" t="s">
        <v>332</v>
      </c>
      <c r="D20" s="31" t="s">
        <v>648</v>
      </c>
      <c r="E20" s="31">
        <v>4</v>
      </c>
    </row>
    <row r="21" spans="1:5" x14ac:dyDescent="0.25">
      <c r="A21" s="30" t="s">
        <v>94</v>
      </c>
      <c r="B21" s="31">
        <v>8312011</v>
      </c>
      <c r="C21" s="31">
        <v>2011</v>
      </c>
      <c r="D21" s="31" t="s">
        <v>626</v>
      </c>
      <c r="E21" s="31">
        <v>1</v>
      </c>
    </row>
    <row r="22" spans="1:5" x14ac:dyDescent="0.25">
      <c r="A22" s="30" t="s">
        <v>334</v>
      </c>
      <c r="B22" s="31" t="s">
        <v>652</v>
      </c>
      <c r="C22" s="31" t="s">
        <v>333</v>
      </c>
      <c r="D22" s="31" t="s">
        <v>648</v>
      </c>
      <c r="E22" s="31">
        <v>4</v>
      </c>
    </row>
    <row r="23" spans="1:5" x14ac:dyDescent="0.25">
      <c r="A23" s="30" t="s">
        <v>135</v>
      </c>
      <c r="B23" s="31">
        <v>8315201</v>
      </c>
      <c r="C23" s="31">
        <v>5201</v>
      </c>
      <c r="D23" s="31" t="s">
        <v>626</v>
      </c>
      <c r="E23" s="31">
        <v>1</v>
      </c>
    </row>
    <row r="24" spans="1:5" x14ac:dyDescent="0.25">
      <c r="A24" s="30" t="s">
        <v>335</v>
      </c>
      <c r="B24" s="31" t="s">
        <v>653</v>
      </c>
      <c r="C24" s="31">
        <v>206124</v>
      </c>
      <c r="D24" s="31" t="s">
        <v>648</v>
      </c>
      <c r="E24" s="31">
        <v>4</v>
      </c>
    </row>
    <row r="25" spans="1:5" x14ac:dyDescent="0.25">
      <c r="A25" s="30" t="s">
        <v>108</v>
      </c>
      <c r="B25" s="31">
        <v>8312026</v>
      </c>
      <c r="C25" s="31">
        <v>2026</v>
      </c>
      <c r="D25" s="31" t="s">
        <v>626</v>
      </c>
      <c r="E25" s="31">
        <v>1</v>
      </c>
    </row>
    <row r="26" spans="1:5" x14ac:dyDescent="0.25">
      <c r="A26" s="30" t="s">
        <v>337</v>
      </c>
      <c r="B26" s="31" t="s">
        <v>654</v>
      </c>
      <c r="C26" s="31" t="s">
        <v>336</v>
      </c>
      <c r="D26" s="31" t="s">
        <v>648</v>
      </c>
      <c r="E26" s="31">
        <v>4</v>
      </c>
    </row>
    <row r="27" spans="1:5" x14ac:dyDescent="0.25">
      <c r="A27" s="30" t="s">
        <v>100</v>
      </c>
      <c r="B27" s="31">
        <v>8312018</v>
      </c>
      <c r="C27" s="31">
        <v>2018</v>
      </c>
      <c r="D27" s="31" t="s">
        <v>626</v>
      </c>
      <c r="E27" s="31">
        <v>1</v>
      </c>
    </row>
    <row r="28" spans="1:5" x14ac:dyDescent="0.25">
      <c r="A28" s="30" t="s">
        <v>121</v>
      </c>
      <c r="B28" s="31">
        <v>8312512</v>
      </c>
      <c r="C28" s="31">
        <v>2512</v>
      </c>
      <c r="D28" s="31" t="s">
        <v>626</v>
      </c>
      <c r="E28" s="31">
        <v>1</v>
      </c>
    </row>
    <row r="29" spans="1:5" x14ac:dyDescent="0.25">
      <c r="A29" s="30" t="s">
        <v>338</v>
      </c>
      <c r="B29" s="31" t="s">
        <v>655</v>
      </c>
      <c r="C29" s="31">
        <v>206126</v>
      </c>
      <c r="D29" s="31" t="s">
        <v>648</v>
      </c>
      <c r="E29" s="31">
        <v>4</v>
      </c>
    </row>
    <row r="30" spans="1:5" x14ac:dyDescent="0.25">
      <c r="A30" s="30" t="s">
        <v>339</v>
      </c>
      <c r="B30" s="31" t="s">
        <v>656</v>
      </c>
      <c r="C30" s="31">
        <v>206111</v>
      </c>
      <c r="D30" s="31" t="s">
        <v>588</v>
      </c>
      <c r="E30" s="31">
        <v>3</v>
      </c>
    </row>
    <row r="31" spans="1:5" x14ac:dyDescent="0.25">
      <c r="A31" s="30" t="s">
        <v>340</v>
      </c>
      <c r="B31" s="31" t="s">
        <v>657</v>
      </c>
      <c r="C31" s="31">
        <v>206091</v>
      </c>
      <c r="D31" s="31" t="s">
        <v>588</v>
      </c>
      <c r="E31" s="31">
        <v>3</v>
      </c>
    </row>
    <row r="32" spans="1:5" x14ac:dyDescent="0.25">
      <c r="A32" s="30" t="s">
        <v>114</v>
      </c>
      <c r="B32" s="31">
        <v>8312456</v>
      </c>
      <c r="C32" s="31">
        <v>2456</v>
      </c>
      <c r="D32" s="31" t="s">
        <v>626</v>
      </c>
      <c r="E32" s="31">
        <v>1</v>
      </c>
    </row>
    <row r="33" spans="1:5" x14ac:dyDescent="0.25">
      <c r="A33" s="30" t="s">
        <v>109</v>
      </c>
      <c r="B33" s="31">
        <v>0</v>
      </c>
      <c r="C33" s="31">
        <v>2027</v>
      </c>
      <c r="D33" s="31" t="s">
        <v>626</v>
      </c>
      <c r="E33" s="31">
        <v>1</v>
      </c>
    </row>
    <row r="34" spans="1:5" x14ac:dyDescent="0.25">
      <c r="A34" s="30" t="s">
        <v>72</v>
      </c>
      <c r="B34" s="31" t="s">
        <v>608</v>
      </c>
      <c r="C34" s="31">
        <v>2449</v>
      </c>
      <c r="D34" s="31" t="s">
        <v>603</v>
      </c>
      <c r="E34" s="31">
        <v>1</v>
      </c>
    </row>
    <row r="35" spans="1:5" x14ac:dyDescent="0.25">
      <c r="A35" s="30" t="s">
        <v>101</v>
      </c>
      <c r="B35" s="31">
        <v>8312019</v>
      </c>
      <c r="C35" s="31">
        <v>2019</v>
      </c>
      <c r="D35" s="31">
        <v>0</v>
      </c>
      <c r="E35" s="31">
        <v>0</v>
      </c>
    </row>
    <row r="36" spans="1:5" x14ac:dyDescent="0.25">
      <c r="A36" s="30" t="s">
        <v>322</v>
      </c>
      <c r="B36" s="31" t="s">
        <v>609</v>
      </c>
      <c r="C36" s="31">
        <v>1006</v>
      </c>
      <c r="D36" s="31" t="s">
        <v>589</v>
      </c>
      <c r="E36" s="31">
        <v>2</v>
      </c>
    </row>
    <row r="37" spans="1:5" x14ac:dyDescent="0.25">
      <c r="A37" s="30" t="s">
        <v>118</v>
      </c>
      <c r="B37" s="31">
        <v>8312467</v>
      </c>
      <c r="C37" s="31">
        <v>2467</v>
      </c>
      <c r="D37" s="31" t="s">
        <v>626</v>
      </c>
      <c r="E37" s="31">
        <v>1</v>
      </c>
    </row>
    <row r="38" spans="1:5" x14ac:dyDescent="0.25">
      <c r="A38" s="30" t="s">
        <v>144</v>
      </c>
      <c r="B38" s="31">
        <v>8314012</v>
      </c>
      <c r="C38" s="31">
        <v>4012</v>
      </c>
      <c r="D38" s="31">
        <v>0</v>
      </c>
      <c r="E38" s="31">
        <v>0</v>
      </c>
    </row>
    <row r="39" spans="1:5" x14ac:dyDescent="0.25">
      <c r="A39" s="30" t="s">
        <v>113</v>
      </c>
      <c r="B39" s="31">
        <v>8312455</v>
      </c>
      <c r="C39" s="31">
        <v>2455</v>
      </c>
      <c r="D39" s="31">
        <v>0</v>
      </c>
      <c r="E39" s="31">
        <v>0</v>
      </c>
    </row>
    <row r="40" spans="1:5" x14ac:dyDescent="0.25">
      <c r="A40" s="30" t="s">
        <v>136</v>
      </c>
      <c r="B40" s="31">
        <v>8315203</v>
      </c>
      <c r="C40" s="31">
        <v>5203</v>
      </c>
      <c r="D40" s="31">
        <v>0</v>
      </c>
      <c r="E40" s="31">
        <v>0</v>
      </c>
    </row>
    <row r="41" spans="1:5" x14ac:dyDescent="0.25">
      <c r="A41" s="30" t="s">
        <v>112</v>
      </c>
      <c r="B41" s="31">
        <v>8312451</v>
      </c>
      <c r="C41" s="31">
        <v>2451</v>
      </c>
      <c r="D41" s="31" t="s">
        <v>626</v>
      </c>
      <c r="E41" s="31">
        <v>1</v>
      </c>
    </row>
    <row r="42" spans="1:5" x14ac:dyDescent="0.25">
      <c r="A42" s="30" t="s">
        <v>485</v>
      </c>
      <c r="B42" s="31" t="s">
        <v>703</v>
      </c>
      <c r="C42" s="31" t="s">
        <v>484</v>
      </c>
      <c r="D42" s="31" t="s">
        <v>588</v>
      </c>
      <c r="E42" s="31">
        <v>3</v>
      </c>
    </row>
    <row r="43" spans="1:5" x14ac:dyDescent="0.25">
      <c r="A43" s="30" t="s">
        <v>341</v>
      </c>
      <c r="B43" s="31" t="s">
        <v>658</v>
      </c>
      <c r="C43" s="31">
        <v>206128</v>
      </c>
      <c r="D43" s="31" t="s">
        <v>588</v>
      </c>
      <c r="E43" s="31">
        <v>3</v>
      </c>
    </row>
    <row r="44" spans="1:5" x14ac:dyDescent="0.25">
      <c r="A44" s="30" t="s">
        <v>141</v>
      </c>
      <c r="B44" s="31">
        <v>8314008</v>
      </c>
      <c r="C44" s="31">
        <v>4008</v>
      </c>
      <c r="D44" s="31">
        <v>0</v>
      </c>
      <c r="E44" s="31">
        <v>0</v>
      </c>
    </row>
    <row r="45" spans="1:5" x14ac:dyDescent="0.25">
      <c r="A45" s="30" t="s">
        <v>105</v>
      </c>
      <c r="B45" s="31">
        <v>8312023</v>
      </c>
      <c r="C45" s="31">
        <v>2023</v>
      </c>
      <c r="D45" s="31" t="s">
        <v>626</v>
      </c>
      <c r="E45" s="31">
        <v>1</v>
      </c>
    </row>
    <row r="46" spans="1:5" x14ac:dyDescent="0.25">
      <c r="A46" s="30" t="s">
        <v>140</v>
      </c>
      <c r="B46" s="31">
        <v>8314007</v>
      </c>
      <c r="C46" s="31">
        <v>4007</v>
      </c>
      <c r="D46" s="31">
        <v>0</v>
      </c>
      <c r="E46" s="31">
        <v>0</v>
      </c>
    </row>
    <row r="47" spans="1:5" x14ac:dyDescent="0.25">
      <c r="A47" s="30" t="s">
        <v>65</v>
      </c>
      <c r="B47" s="31">
        <v>8312409</v>
      </c>
      <c r="C47" s="31">
        <v>2409</v>
      </c>
      <c r="D47" s="31" t="s">
        <v>603</v>
      </c>
      <c r="E47" s="31">
        <v>0</v>
      </c>
    </row>
    <row r="48" spans="1:5" x14ac:dyDescent="0.25">
      <c r="A48" s="30" t="s">
        <v>578</v>
      </c>
      <c r="B48" s="31"/>
      <c r="C48" s="31">
        <v>2682783</v>
      </c>
      <c r="D48" s="31" t="s">
        <v>588</v>
      </c>
      <c r="E48" s="31">
        <v>3</v>
      </c>
    </row>
    <row r="49" spans="1:5" x14ac:dyDescent="0.25">
      <c r="A49" s="30" t="s">
        <v>137</v>
      </c>
      <c r="B49" s="31">
        <v>8314004</v>
      </c>
      <c r="C49" s="31">
        <v>4004</v>
      </c>
      <c r="D49" s="31">
        <v>0</v>
      </c>
      <c r="E49" s="31">
        <v>0</v>
      </c>
    </row>
    <row r="50" spans="1:5" x14ac:dyDescent="0.25">
      <c r="A50" s="30" t="s">
        <v>357</v>
      </c>
      <c r="B50" s="31">
        <v>0</v>
      </c>
      <c r="C50" s="31" t="s">
        <v>356</v>
      </c>
      <c r="D50" s="31" t="s">
        <v>588</v>
      </c>
      <c r="E50" s="31">
        <v>3</v>
      </c>
    </row>
    <row r="51" spans="1:5" x14ac:dyDescent="0.25">
      <c r="A51" s="30" t="s">
        <v>342</v>
      </c>
      <c r="B51" s="31" t="s">
        <v>659</v>
      </c>
      <c r="C51" s="31">
        <v>205999</v>
      </c>
      <c r="D51" s="31" t="s">
        <v>588</v>
      </c>
      <c r="E51" s="31">
        <v>3</v>
      </c>
    </row>
    <row r="52" spans="1:5" x14ac:dyDescent="0.25">
      <c r="A52" s="30" t="s">
        <v>344</v>
      </c>
      <c r="B52" s="31">
        <v>0</v>
      </c>
      <c r="C52" s="31" t="s">
        <v>343</v>
      </c>
      <c r="D52" s="31" t="s">
        <v>588</v>
      </c>
      <c r="E52" s="31">
        <v>3</v>
      </c>
    </row>
    <row r="53" spans="1:5" x14ac:dyDescent="0.25">
      <c r="A53" s="30" t="s">
        <v>346</v>
      </c>
      <c r="B53" s="31" t="s">
        <v>660</v>
      </c>
      <c r="C53" s="31" t="s">
        <v>345</v>
      </c>
      <c r="D53" s="31" t="s">
        <v>588</v>
      </c>
      <c r="E53" s="31">
        <v>3</v>
      </c>
    </row>
    <row r="54" spans="1:5" x14ac:dyDescent="0.25">
      <c r="A54" s="30" t="s">
        <v>347</v>
      </c>
      <c r="B54" s="31" t="s">
        <v>661</v>
      </c>
      <c r="C54" s="31">
        <v>205921</v>
      </c>
      <c r="D54" s="31" t="s">
        <v>588</v>
      </c>
      <c r="E54" s="31">
        <v>3</v>
      </c>
    </row>
    <row r="55" spans="1:5" x14ac:dyDescent="0.25">
      <c r="A55" s="30" t="s">
        <v>348</v>
      </c>
      <c r="B55" s="31">
        <v>0</v>
      </c>
      <c r="C55" s="31">
        <v>206011</v>
      </c>
      <c r="D55" s="31" t="s">
        <v>588</v>
      </c>
      <c r="E55" s="31">
        <v>3</v>
      </c>
    </row>
    <row r="56" spans="1:5" x14ac:dyDescent="0.25">
      <c r="A56" s="30" t="s">
        <v>351</v>
      </c>
      <c r="B56" s="31" t="s">
        <v>662</v>
      </c>
      <c r="C56" s="31" t="s">
        <v>350</v>
      </c>
      <c r="D56" s="31" t="s">
        <v>588</v>
      </c>
      <c r="E56" s="31">
        <v>3</v>
      </c>
    </row>
    <row r="57" spans="1:5" x14ac:dyDescent="0.25">
      <c r="A57" s="30" t="s">
        <v>353</v>
      </c>
      <c r="B57" s="31" t="s">
        <v>663</v>
      </c>
      <c r="C57" s="31" t="s">
        <v>352</v>
      </c>
      <c r="D57" s="31" t="s">
        <v>588</v>
      </c>
      <c r="E57" s="31">
        <v>3</v>
      </c>
    </row>
    <row r="58" spans="1:5" x14ac:dyDescent="0.25">
      <c r="A58" s="30" t="s">
        <v>355</v>
      </c>
      <c r="B58" s="31">
        <v>0</v>
      </c>
      <c r="C58" s="31" t="s">
        <v>354</v>
      </c>
      <c r="D58" s="31" t="s">
        <v>588</v>
      </c>
      <c r="E58" s="31">
        <v>3</v>
      </c>
    </row>
    <row r="59" spans="1:5" x14ac:dyDescent="0.25">
      <c r="A59" s="30" t="s">
        <v>358</v>
      </c>
      <c r="B59" s="31">
        <v>0</v>
      </c>
      <c r="C59" s="31">
        <v>2549324</v>
      </c>
      <c r="D59" s="31" t="s">
        <v>588</v>
      </c>
      <c r="E59" s="31">
        <v>3</v>
      </c>
    </row>
    <row r="60" spans="1:5" x14ac:dyDescent="0.25">
      <c r="A60" s="30" t="s">
        <v>361</v>
      </c>
      <c r="B60" s="31">
        <v>0</v>
      </c>
      <c r="C60" s="31">
        <v>2519477</v>
      </c>
      <c r="D60" s="31" t="s">
        <v>588</v>
      </c>
      <c r="E60" s="31">
        <v>3</v>
      </c>
    </row>
    <row r="61" spans="1:5" x14ac:dyDescent="0.25">
      <c r="A61" s="30" t="s">
        <v>360</v>
      </c>
      <c r="B61" s="31"/>
      <c r="C61" s="31" t="s">
        <v>359</v>
      </c>
      <c r="D61" s="31" t="s">
        <v>588</v>
      </c>
      <c r="E61" s="31">
        <v>3</v>
      </c>
    </row>
    <row r="62" spans="1:5" x14ac:dyDescent="0.25">
      <c r="A62" s="30" t="s">
        <v>363</v>
      </c>
      <c r="B62" s="31">
        <v>0</v>
      </c>
      <c r="C62" s="31" t="s">
        <v>362</v>
      </c>
      <c r="D62" s="31" t="s">
        <v>588</v>
      </c>
      <c r="E62" s="31">
        <v>3</v>
      </c>
    </row>
    <row r="63" spans="1:5" x14ac:dyDescent="0.25">
      <c r="A63" s="30" t="s">
        <v>365</v>
      </c>
      <c r="B63" s="31" t="s">
        <v>664</v>
      </c>
      <c r="C63" s="31" t="s">
        <v>364</v>
      </c>
      <c r="D63" s="31" t="s">
        <v>588</v>
      </c>
      <c r="E63" s="31">
        <v>3</v>
      </c>
    </row>
    <row r="64" spans="1:5" x14ac:dyDescent="0.25">
      <c r="A64" s="30" t="s">
        <v>366</v>
      </c>
      <c r="B64" s="31" t="s">
        <v>665</v>
      </c>
      <c r="C64" s="31">
        <v>205852</v>
      </c>
      <c r="D64" s="31" t="s">
        <v>588</v>
      </c>
      <c r="E64" s="31">
        <v>3</v>
      </c>
    </row>
    <row r="65" spans="1:5" x14ac:dyDescent="0.25">
      <c r="A65" s="30" t="s">
        <v>367</v>
      </c>
      <c r="B65" s="31">
        <v>0</v>
      </c>
      <c r="C65" s="31">
        <v>205902</v>
      </c>
      <c r="D65" s="31" t="s">
        <v>588</v>
      </c>
      <c r="E65" s="31">
        <v>3</v>
      </c>
    </row>
    <row r="66" spans="1:5" x14ac:dyDescent="0.25">
      <c r="A66" s="30" t="s">
        <v>368</v>
      </c>
      <c r="B66" s="31">
        <v>0</v>
      </c>
      <c r="C66" s="31">
        <v>205922</v>
      </c>
      <c r="D66" s="31" t="s">
        <v>588</v>
      </c>
      <c r="E66" s="31">
        <v>3</v>
      </c>
    </row>
    <row r="67" spans="1:5" x14ac:dyDescent="0.25">
      <c r="A67" s="30" t="s">
        <v>370</v>
      </c>
      <c r="B67" s="31" t="s">
        <v>666</v>
      </c>
      <c r="C67" s="31" t="s">
        <v>369</v>
      </c>
      <c r="D67" s="31" t="s">
        <v>588</v>
      </c>
      <c r="E67" s="31">
        <v>3</v>
      </c>
    </row>
    <row r="68" spans="1:5" x14ac:dyDescent="0.25">
      <c r="A68" s="30" t="s">
        <v>372</v>
      </c>
      <c r="B68" s="31" t="s">
        <v>667</v>
      </c>
      <c r="C68" s="31" t="s">
        <v>371</v>
      </c>
      <c r="D68" s="31" t="s">
        <v>588</v>
      </c>
      <c r="E68" s="31">
        <v>3</v>
      </c>
    </row>
    <row r="69" spans="1:5" x14ac:dyDescent="0.25">
      <c r="A69" s="30" t="s">
        <v>373</v>
      </c>
      <c r="B69" s="31">
        <v>0</v>
      </c>
      <c r="C69" s="31">
        <v>205947</v>
      </c>
      <c r="D69" s="31" t="s">
        <v>588</v>
      </c>
      <c r="E69" s="31">
        <v>3</v>
      </c>
    </row>
    <row r="70" spans="1:5" x14ac:dyDescent="0.25">
      <c r="A70" s="30" t="s">
        <v>374</v>
      </c>
      <c r="B70" s="31" t="s">
        <v>668</v>
      </c>
      <c r="C70" s="31">
        <v>205919</v>
      </c>
      <c r="D70" s="31" t="s">
        <v>588</v>
      </c>
      <c r="E70" s="31">
        <v>3</v>
      </c>
    </row>
    <row r="71" spans="1:5" x14ac:dyDescent="0.25">
      <c r="A71" s="30" t="s">
        <v>376</v>
      </c>
      <c r="B71" s="31">
        <v>0</v>
      </c>
      <c r="C71" s="31" t="s">
        <v>375</v>
      </c>
      <c r="D71" s="31" t="s">
        <v>588</v>
      </c>
      <c r="E71" s="31">
        <v>3</v>
      </c>
    </row>
    <row r="72" spans="1:5" x14ac:dyDescent="0.25">
      <c r="A72" s="30" t="s">
        <v>380</v>
      </c>
      <c r="B72" s="31" t="s">
        <v>669</v>
      </c>
      <c r="C72" s="31" t="s">
        <v>379</v>
      </c>
      <c r="D72" s="31" t="s">
        <v>588</v>
      </c>
      <c r="E72" s="31">
        <v>3</v>
      </c>
    </row>
    <row r="73" spans="1:5" x14ac:dyDescent="0.25">
      <c r="A73" s="30" t="s">
        <v>378</v>
      </c>
      <c r="B73" s="31">
        <v>0</v>
      </c>
      <c r="C73" s="31" t="s">
        <v>377</v>
      </c>
      <c r="D73" s="31" t="s">
        <v>588</v>
      </c>
      <c r="E73" s="31">
        <v>3</v>
      </c>
    </row>
    <row r="74" spans="1:5" x14ac:dyDescent="0.25">
      <c r="A74" s="30" t="s">
        <v>381</v>
      </c>
      <c r="B74" s="31"/>
      <c r="C74" s="31">
        <v>205879</v>
      </c>
      <c r="D74" s="31" t="s">
        <v>588</v>
      </c>
      <c r="E74" s="31">
        <v>3</v>
      </c>
    </row>
    <row r="75" spans="1:5" x14ac:dyDescent="0.25">
      <c r="A75" s="30" t="s">
        <v>383</v>
      </c>
      <c r="B75" s="31">
        <v>0</v>
      </c>
      <c r="C75" s="31" t="s">
        <v>382</v>
      </c>
      <c r="D75" s="31" t="s">
        <v>588</v>
      </c>
      <c r="E75" s="31">
        <v>3</v>
      </c>
    </row>
    <row r="76" spans="1:5" x14ac:dyDescent="0.25">
      <c r="A76" s="30" t="s">
        <v>385</v>
      </c>
      <c r="B76" s="31" t="s">
        <v>670</v>
      </c>
      <c r="C76" s="31" t="s">
        <v>384</v>
      </c>
      <c r="D76" s="31" t="s">
        <v>588</v>
      </c>
      <c r="E76" s="31">
        <v>3</v>
      </c>
    </row>
    <row r="77" spans="1:5" x14ac:dyDescent="0.25">
      <c r="A77" s="30" t="s">
        <v>387</v>
      </c>
      <c r="B77" s="31" t="s">
        <v>671</v>
      </c>
      <c r="C77" s="31" t="s">
        <v>386</v>
      </c>
      <c r="D77" s="31" t="s">
        <v>588</v>
      </c>
      <c r="E77" s="31">
        <v>3</v>
      </c>
    </row>
    <row r="78" spans="1:5" x14ac:dyDescent="0.25">
      <c r="A78" s="30" t="s">
        <v>389</v>
      </c>
      <c r="B78" s="31"/>
      <c r="C78" s="31" t="s">
        <v>388</v>
      </c>
      <c r="D78" s="31" t="s">
        <v>588</v>
      </c>
      <c r="E78" s="31">
        <v>3</v>
      </c>
    </row>
    <row r="79" spans="1:5" x14ac:dyDescent="0.25">
      <c r="A79" s="30" t="s">
        <v>390</v>
      </c>
      <c r="B79" s="31"/>
      <c r="C79" s="31">
        <v>2617229</v>
      </c>
      <c r="D79" s="31" t="s">
        <v>588</v>
      </c>
      <c r="E79" s="31">
        <v>3</v>
      </c>
    </row>
    <row r="80" spans="1:5" x14ac:dyDescent="0.25">
      <c r="A80" s="30" t="s">
        <v>395</v>
      </c>
      <c r="B80" s="31">
        <v>0</v>
      </c>
      <c r="C80" s="31" t="s">
        <v>394</v>
      </c>
      <c r="D80" s="31" t="s">
        <v>588</v>
      </c>
      <c r="E80" s="31">
        <v>3</v>
      </c>
    </row>
    <row r="81" spans="1:5" x14ac:dyDescent="0.25">
      <c r="A81" s="30" t="s">
        <v>396</v>
      </c>
      <c r="B81" s="31">
        <v>0</v>
      </c>
      <c r="C81" s="31">
        <v>2562992</v>
      </c>
      <c r="D81" s="31" t="s">
        <v>588</v>
      </c>
      <c r="E81" s="31">
        <v>3</v>
      </c>
    </row>
    <row r="82" spans="1:5" x14ac:dyDescent="0.25">
      <c r="A82" s="30" t="s">
        <v>398</v>
      </c>
      <c r="B82" s="31">
        <v>0</v>
      </c>
      <c r="C82" s="31" t="s">
        <v>397</v>
      </c>
      <c r="D82" s="31" t="s">
        <v>588</v>
      </c>
      <c r="E82" s="31">
        <v>3</v>
      </c>
    </row>
    <row r="83" spans="1:5" x14ac:dyDescent="0.25">
      <c r="A83" s="30" t="s">
        <v>401</v>
      </c>
      <c r="B83" s="31" t="s">
        <v>672</v>
      </c>
      <c r="C83" s="31">
        <v>205881</v>
      </c>
      <c r="D83" s="31" t="s">
        <v>588</v>
      </c>
      <c r="E83" s="31">
        <v>3</v>
      </c>
    </row>
    <row r="84" spans="1:5" x14ac:dyDescent="0.25">
      <c r="A84" s="30" t="s">
        <v>403</v>
      </c>
      <c r="B84" s="31">
        <v>0</v>
      </c>
      <c r="C84" s="31" t="s">
        <v>402</v>
      </c>
      <c r="D84" s="31" t="s">
        <v>588</v>
      </c>
      <c r="E84" s="31">
        <v>3</v>
      </c>
    </row>
    <row r="85" spans="1:5" x14ac:dyDescent="0.25">
      <c r="A85" s="30" t="s">
        <v>405</v>
      </c>
      <c r="B85" s="31" t="s">
        <v>673</v>
      </c>
      <c r="C85" s="31" t="s">
        <v>404</v>
      </c>
      <c r="D85" s="31" t="s">
        <v>588</v>
      </c>
      <c r="E85" s="31">
        <v>3</v>
      </c>
    </row>
    <row r="86" spans="1:5" x14ac:dyDescent="0.25">
      <c r="A86" s="30" t="s">
        <v>407</v>
      </c>
      <c r="B86" s="31">
        <v>0</v>
      </c>
      <c r="C86" s="31" t="s">
        <v>406</v>
      </c>
      <c r="D86" s="31" t="s">
        <v>588</v>
      </c>
      <c r="E86" s="31">
        <v>3</v>
      </c>
    </row>
    <row r="87" spans="1:5" x14ac:dyDescent="0.25">
      <c r="A87" s="30" t="s">
        <v>408</v>
      </c>
      <c r="B87" s="31"/>
      <c r="C87" s="31">
        <v>2575281</v>
      </c>
      <c r="D87" s="31" t="s">
        <v>588</v>
      </c>
      <c r="E87" s="31">
        <v>3</v>
      </c>
    </row>
    <row r="88" spans="1:5" x14ac:dyDescent="0.25">
      <c r="A88" s="30" t="s">
        <v>410</v>
      </c>
      <c r="B88" s="31" t="s">
        <v>674</v>
      </c>
      <c r="C88" s="31" t="s">
        <v>409</v>
      </c>
      <c r="D88" s="31" t="s">
        <v>588</v>
      </c>
      <c r="E88" s="31">
        <v>3</v>
      </c>
    </row>
    <row r="89" spans="1:5" x14ac:dyDescent="0.25">
      <c r="A89" s="30" t="s">
        <v>411</v>
      </c>
      <c r="B89" s="31" t="s">
        <v>675</v>
      </c>
      <c r="C89" s="31">
        <v>306845</v>
      </c>
      <c r="D89" s="31" t="s">
        <v>588</v>
      </c>
      <c r="E89" s="31">
        <v>3</v>
      </c>
    </row>
    <row r="90" spans="1:5" x14ac:dyDescent="0.25">
      <c r="A90" s="30" t="s">
        <v>412</v>
      </c>
      <c r="B90" s="31"/>
      <c r="C90" s="31">
        <v>2518126</v>
      </c>
      <c r="D90" s="31" t="s">
        <v>588</v>
      </c>
      <c r="E90" s="31">
        <v>3</v>
      </c>
    </row>
    <row r="91" spans="1:5" x14ac:dyDescent="0.25">
      <c r="A91" s="30" t="s">
        <v>414</v>
      </c>
      <c r="B91" s="31"/>
      <c r="C91" s="31" t="s">
        <v>413</v>
      </c>
      <c r="D91" s="31" t="s">
        <v>588</v>
      </c>
      <c r="E91" s="31">
        <v>3</v>
      </c>
    </row>
    <row r="92" spans="1:5" x14ac:dyDescent="0.25">
      <c r="A92" s="30" t="s">
        <v>420</v>
      </c>
      <c r="B92" s="31" t="s">
        <v>676</v>
      </c>
      <c r="C92" s="31" t="s">
        <v>419</v>
      </c>
      <c r="D92" s="31" t="s">
        <v>588</v>
      </c>
      <c r="E92" s="31">
        <v>3</v>
      </c>
    </row>
    <row r="93" spans="1:5" x14ac:dyDescent="0.25">
      <c r="A93" s="30" t="s">
        <v>418</v>
      </c>
      <c r="B93" s="31">
        <v>0</v>
      </c>
      <c r="C93" s="31" t="s">
        <v>417</v>
      </c>
      <c r="D93" s="31" t="s">
        <v>588</v>
      </c>
      <c r="E93" s="31">
        <v>3</v>
      </c>
    </row>
    <row r="94" spans="1:5" x14ac:dyDescent="0.25">
      <c r="A94" s="30" t="s">
        <v>421</v>
      </c>
      <c r="B94" s="31" t="s">
        <v>677</v>
      </c>
      <c r="C94" s="31">
        <v>205878</v>
      </c>
      <c r="D94" s="31" t="s">
        <v>588</v>
      </c>
      <c r="E94" s="31">
        <v>3</v>
      </c>
    </row>
    <row r="95" spans="1:5" x14ac:dyDescent="0.25">
      <c r="A95" s="30" t="s">
        <v>423</v>
      </c>
      <c r="B95" s="31">
        <v>0</v>
      </c>
      <c r="C95" s="31" t="s">
        <v>422</v>
      </c>
      <c r="D95" s="31" t="s">
        <v>588</v>
      </c>
      <c r="E95" s="31">
        <v>3</v>
      </c>
    </row>
    <row r="96" spans="1:5" x14ac:dyDescent="0.25">
      <c r="A96" s="30" t="s">
        <v>427</v>
      </c>
      <c r="B96" s="31"/>
      <c r="C96" s="31">
        <v>2578607</v>
      </c>
      <c r="D96" s="31" t="s">
        <v>588</v>
      </c>
      <c r="E96" s="31">
        <v>3</v>
      </c>
    </row>
    <row r="97" spans="1:5" x14ac:dyDescent="0.25">
      <c r="A97" s="30" t="s">
        <v>425</v>
      </c>
      <c r="B97" s="31" t="s">
        <v>678</v>
      </c>
      <c r="C97" s="31" t="s">
        <v>424</v>
      </c>
      <c r="D97" s="31" t="s">
        <v>588</v>
      </c>
      <c r="E97" s="31">
        <v>3</v>
      </c>
    </row>
    <row r="98" spans="1:5" x14ac:dyDescent="0.25">
      <c r="A98" s="30" t="s">
        <v>429</v>
      </c>
      <c r="B98" s="31">
        <v>0</v>
      </c>
      <c r="C98" s="31" t="s">
        <v>428</v>
      </c>
      <c r="D98" s="31" t="s">
        <v>588</v>
      </c>
      <c r="E98" s="31">
        <v>3</v>
      </c>
    </row>
    <row r="99" spans="1:5" x14ac:dyDescent="0.25">
      <c r="A99" s="30" t="s">
        <v>431</v>
      </c>
      <c r="B99" s="31" t="s">
        <v>680</v>
      </c>
      <c r="C99" s="31" t="s">
        <v>430</v>
      </c>
      <c r="D99" s="31" t="s">
        <v>588</v>
      </c>
      <c r="E99" s="31">
        <v>3</v>
      </c>
    </row>
    <row r="100" spans="1:5" x14ac:dyDescent="0.25">
      <c r="A100" s="30" t="s">
        <v>433</v>
      </c>
      <c r="B100" s="31">
        <v>0</v>
      </c>
      <c r="C100" s="31" t="s">
        <v>432</v>
      </c>
      <c r="D100" s="31" t="s">
        <v>588</v>
      </c>
      <c r="E100" s="31">
        <v>3</v>
      </c>
    </row>
    <row r="101" spans="1:5" x14ac:dyDescent="0.25">
      <c r="A101" s="30" t="s">
        <v>435</v>
      </c>
      <c r="B101" s="31"/>
      <c r="C101" s="31" t="s">
        <v>434</v>
      </c>
      <c r="D101" s="31" t="s">
        <v>588</v>
      </c>
      <c r="E101" s="31">
        <v>3</v>
      </c>
    </row>
    <row r="102" spans="1:5" x14ac:dyDescent="0.25">
      <c r="A102" s="30" t="s">
        <v>437</v>
      </c>
      <c r="B102" s="31" t="s">
        <v>682</v>
      </c>
      <c r="C102" s="31" t="s">
        <v>436</v>
      </c>
      <c r="D102" s="31" t="s">
        <v>588</v>
      </c>
      <c r="E102" s="31">
        <v>3</v>
      </c>
    </row>
    <row r="103" spans="1:5" x14ac:dyDescent="0.25">
      <c r="A103" s="30" t="s">
        <v>439</v>
      </c>
      <c r="B103" s="31" t="s">
        <v>683</v>
      </c>
      <c r="C103" s="31" t="s">
        <v>438</v>
      </c>
      <c r="D103" s="31" t="s">
        <v>588</v>
      </c>
      <c r="E103" s="31">
        <v>3</v>
      </c>
    </row>
    <row r="104" spans="1:5" x14ac:dyDescent="0.25">
      <c r="A104" s="30" t="s">
        <v>441</v>
      </c>
      <c r="B104" s="31">
        <v>0</v>
      </c>
      <c r="C104" s="31" t="s">
        <v>440</v>
      </c>
      <c r="D104" s="31" t="s">
        <v>588</v>
      </c>
      <c r="E104" s="31">
        <v>3</v>
      </c>
    </row>
    <row r="105" spans="1:5" x14ac:dyDescent="0.25">
      <c r="A105" s="30" t="s">
        <v>443</v>
      </c>
      <c r="B105" s="31" t="s">
        <v>684</v>
      </c>
      <c r="C105" s="31" t="s">
        <v>442</v>
      </c>
      <c r="D105" s="31" t="s">
        <v>588</v>
      </c>
      <c r="E105" s="31">
        <v>3</v>
      </c>
    </row>
    <row r="106" spans="1:5" x14ac:dyDescent="0.25">
      <c r="A106" s="30" t="s">
        <v>445</v>
      </c>
      <c r="B106" s="31" t="s">
        <v>685</v>
      </c>
      <c r="C106" s="31" t="s">
        <v>444</v>
      </c>
      <c r="D106" s="31" t="s">
        <v>588</v>
      </c>
      <c r="E106" s="31">
        <v>3</v>
      </c>
    </row>
    <row r="107" spans="1:5" x14ac:dyDescent="0.25">
      <c r="A107" s="30" t="s">
        <v>446</v>
      </c>
      <c r="B107" s="31">
        <v>0</v>
      </c>
      <c r="C107" s="31">
        <v>206046</v>
      </c>
      <c r="D107" s="31" t="s">
        <v>588</v>
      </c>
      <c r="E107" s="31">
        <v>3</v>
      </c>
    </row>
    <row r="108" spans="1:5" x14ac:dyDescent="0.25">
      <c r="A108" s="30" t="s">
        <v>450</v>
      </c>
      <c r="B108" s="31" t="s">
        <v>686</v>
      </c>
      <c r="C108" s="31" t="s">
        <v>449</v>
      </c>
      <c r="D108" s="31" t="s">
        <v>588</v>
      </c>
      <c r="E108" s="31">
        <v>3</v>
      </c>
    </row>
    <row r="109" spans="1:5" x14ac:dyDescent="0.25">
      <c r="A109" s="30" t="s">
        <v>452</v>
      </c>
      <c r="B109" s="31" t="s">
        <v>687</v>
      </c>
      <c r="C109" s="31" t="s">
        <v>451</v>
      </c>
      <c r="D109" s="31" t="s">
        <v>588</v>
      </c>
      <c r="E109" s="31">
        <v>3</v>
      </c>
    </row>
    <row r="110" spans="1:5" x14ac:dyDescent="0.25">
      <c r="A110" s="30" t="s">
        <v>453</v>
      </c>
      <c r="B110" s="31" t="s">
        <v>688</v>
      </c>
      <c r="C110" s="31">
        <v>260848</v>
      </c>
      <c r="D110" s="31" t="s">
        <v>588</v>
      </c>
      <c r="E110" s="31">
        <v>3</v>
      </c>
    </row>
    <row r="111" spans="1:5" x14ac:dyDescent="0.25">
      <c r="A111" s="30" t="s">
        <v>454</v>
      </c>
      <c r="B111" s="31" t="s">
        <v>689</v>
      </c>
      <c r="C111" s="31">
        <v>205978</v>
      </c>
      <c r="D111" s="31" t="s">
        <v>648</v>
      </c>
      <c r="E111" s="31">
        <v>4</v>
      </c>
    </row>
    <row r="112" spans="1:5" x14ac:dyDescent="0.25">
      <c r="A112" s="30" t="s">
        <v>455</v>
      </c>
      <c r="B112" s="31" t="s">
        <v>690</v>
      </c>
      <c r="C112" s="31">
        <v>2563900</v>
      </c>
      <c r="D112" s="31" t="s">
        <v>588</v>
      </c>
      <c r="E112" s="31">
        <v>3</v>
      </c>
    </row>
    <row r="113" spans="1:5" x14ac:dyDescent="0.25">
      <c r="A113" s="30" t="s">
        <v>458</v>
      </c>
      <c r="B113" s="31" t="s">
        <v>691</v>
      </c>
      <c r="C113" s="31">
        <v>206043</v>
      </c>
      <c r="D113" s="31" t="s">
        <v>588</v>
      </c>
      <c r="E113" s="31">
        <v>3</v>
      </c>
    </row>
    <row r="114" spans="1:5" x14ac:dyDescent="0.25">
      <c r="A114" s="30" t="s">
        <v>457</v>
      </c>
      <c r="B114" s="31">
        <v>0</v>
      </c>
      <c r="C114" s="31" t="s">
        <v>456</v>
      </c>
      <c r="D114" s="31" t="s">
        <v>588</v>
      </c>
      <c r="E114" s="31">
        <v>3</v>
      </c>
    </row>
    <row r="115" spans="1:5" x14ac:dyDescent="0.25">
      <c r="A115" s="30" t="s">
        <v>460</v>
      </c>
      <c r="B115" s="31">
        <v>0</v>
      </c>
      <c r="C115" s="31" t="s">
        <v>459</v>
      </c>
      <c r="D115" s="31" t="s">
        <v>588</v>
      </c>
      <c r="E115" s="31">
        <v>3</v>
      </c>
    </row>
    <row r="116" spans="1:5" x14ac:dyDescent="0.25">
      <c r="A116" s="30" t="s">
        <v>461</v>
      </c>
      <c r="B116" s="31" t="s">
        <v>692</v>
      </c>
      <c r="C116" s="31">
        <v>505502</v>
      </c>
      <c r="D116" s="31" t="s">
        <v>588</v>
      </c>
      <c r="E116" s="31">
        <v>3</v>
      </c>
    </row>
    <row r="117" spans="1:5" x14ac:dyDescent="0.25">
      <c r="A117" s="30" t="s">
        <v>463</v>
      </c>
      <c r="B117" s="31" t="s">
        <v>693</v>
      </c>
      <c r="C117" s="31" t="s">
        <v>462</v>
      </c>
      <c r="D117" s="31" t="s">
        <v>588</v>
      </c>
      <c r="E117" s="31">
        <v>3</v>
      </c>
    </row>
    <row r="118" spans="1:5" x14ac:dyDescent="0.25">
      <c r="A118" s="30" t="s">
        <v>465</v>
      </c>
      <c r="B118" s="31" t="s">
        <v>694</v>
      </c>
      <c r="C118" s="31" t="s">
        <v>464</v>
      </c>
      <c r="D118" s="31" t="s">
        <v>588</v>
      </c>
      <c r="E118" s="31">
        <v>3</v>
      </c>
    </row>
    <row r="119" spans="1:5" x14ac:dyDescent="0.25">
      <c r="A119" s="30" t="s">
        <v>467</v>
      </c>
      <c r="B119" s="31" t="s">
        <v>695</v>
      </c>
      <c r="C119" s="31" t="s">
        <v>466</v>
      </c>
      <c r="D119" s="31" t="s">
        <v>588</v>
      </c>
      <c r="E119" s="31">
        <v>3</v>
      </c>
    </row>
    <row r="120" spans="1:5" x14ac:dyDescent="0.25">
      <c r="A120" s="30" t="s">
        <v>469</v>
      </c>
      <c r="B120" s="31">
        <v>0</v>
      </c>
      <c r="C120" s="31" t="s">
        <v>468</v>
      </c>
      <c r="D120" s="31" t="s">
        <v>588</v>
      </c>
      <c r="E120" s="31">
        <v>3</v>
      </c>
    </row>
    <row r="121" spans="1:5" x14ac:dyDescent="0.25">
      <c r="A121" s="30" t="s">
        <v>471</v>
      </c>
      <c r="B121" s="31" t="s">
        <v>696</v>
      </c>
      <c r="C121" s="31" t="s">
        <v>470</v>
      </c>
      <c r="D121" s="31" t="s">
        <v>588</v>
      </c>
      <c r="E121" s="31">
        <v>3</v>
      </c>
    </row>
    <row r="122" spans="1:5" x14ac:dyDescent="0.25">
      <c r="A122" s="30" t="s">
        <v>473</v>
      </c>
      <c r="B122" s="31" t="s">
        <v>697</v>
      </c>
      <c r="C122" s="31" t="s">
        <v>472</v>
      </c>
      <c r="D122" s="31" t="s">
        <v>588</v>
      </c>
      <c r="E122" s="31">
        <v>3</v>
      </c>
    </row>
    <row r="123" spans="1:5" x14ac:dyDescent="0.25">
      <c r="A123" s="30" t="s">
        <v>475</v>
      </c>
      <c r="B123" s="31" t="s">
        <v>698</v>
      </c>
      <c r="C123" s="31" t="s">
        <v>474</v>
      </c>
      <c r="D123" s="31" t="s">
        <v>588</v>
      </c>
      <c r="E123" s="31">
        <v>3</v>
      </c>
    </row>
    <row r="124" spans="1:5" x14ac:dyDescent="0.25">
      <c r="A124" s="30" t="s">
        <v>477</v>
      </c>
      <c r="B124" s="31" t="s">
        <v>699</v>
      </c>
      <c r="C124" s="31" t="s">
        <v>476</v>
      </c>
      <c r="D124" s="31" t="s">
        <v>588</v>
      </c>
      <c r="E124" s="31">
        <v>3</v>
      </c>
    </row>
    <row r="125" spans="1:5" x14ac:dyDescent="0.25">
      <c r="A125" s="30" t="s">
        <v>479</v>
      </c>
      <c r="B125" s="31" t="s">
        <v>700</v>
      </c>
      <c r="C125" s="31" t="s">
        <v>478</v>
      </c>
      <c r="D125" s="31" t="s">
        <v>588</v>
      </c>
      <c r="E125" s="31">
        <v>3</v>
      </c>
    </row>
    <row r="126" spans="1:5" x14ac:dyDescent="0.25">
      <c r="A126" s="30" t="s">
        <v>481</v>
      </c>
      <c r="B126" s="31" t="s">
        <v>701</v>
      </c>
      <c r="C126" s="31" t="s">
        <v>480</v>
      </c>
      <c r="D126" s="31" t="s">
        <v>588</v>
      </c>
      <c r="E126" s="31">
        <v>3</v>
      </c>
    </row>
    <row r="127" spans="1:5" x14ac:dyDescent="0.25">
      <c r="A127" s="30" t="s">
        <v>145</v>
      </c>
      <c r="B127" s="31">
        <v>8314178</v>
      </c>
      <c r="C127" s="31">
        <v>4178</v>
      </c>
      <c r="D127" s="31">
        <v>0</v>
      </c>
      <c r="E127" s="31">
        <v>0</v>
      </c>
    </row>
    <row r="128" spans="1:5" x14ac:dyDescent="0.25">
      <c r="A128" s="30" t="s">
        <v>124</v>
      </c>
      <c r="B128" s="31">
        <v>8313158</v>
      </c>
      <c r="C128" s="31">
        <v>3158</v>
      </c>
      <c r="D128" s="31" t="s">
        <v>626</v>
      </c>
      <c r="E128" s="31">
        <v>1</v>
      </c>
    </row>
    <row r="129" spans="1:5" x14ac:dyDescent="0.25">
      <c r="A129" s="30" t="s">
        <v>98</v>
      </c>
      <c r="B129" s="31">
        <v>8312016</v>
      </c>
      <c r="C129" s="31">
        <v>2016</v>
      </c>
      <c r="D129" s="31" t="s">
        <v>626</v>
      </c>
      <c r="E129" s="31">
        <v>1</v>
      </c>
    </row>
    <row r="130" spans="1:5" x14ac:dyDescent="0.25">
      <c r="A130" s="30" t="s">
        <v>483</v>
      </c>
      <c r="B130" s="31" t="s">
        <v>702</v>
      </c>
      <c r="C130" s="31" t="s">
        <v>482</v>
      </c>
      <c r="D130" s="31" t="s">
        <v>588</v>
      </c>
      <c r="E130" s="31">
        <v>3</v>
      </c>
    </row>
    <row r="131" spans="1:5" x14ac:dyDescent="0.25">
      <c r="A131" s="30" t="s">
        <v>487</v>
      </c>
      <c r="B131" s="31" t="s">
        <v>704</v>
      </c>
      <c r="C131" s="31" t="s">
        <v>486</v>
      </c>
      <c r="D131" s="31" t="s">
        <v>588</v>
      </c>
      <c r="E131" s="31">
        <v>3</v>
      </c>
    </row>
    <row r="132" spans="1:5" x14ac:dyDescent="0.25">
      <c r="A132" s="30" t="s">
        <v>489</v>
      </c>
      <c r="B132" s="31" t="s">
        <v>705</v>
      </c>
      <c r="C132" s="31" t="s">
        <v>488</v>
      </c>
      <c r="D132" s="31" t="s">
        <v>588</v>
      </c>
      <c r="E132" s="31">
        <v>3</v>
      </c>
    </row>
    <row r="133" spans="1:5" x14ac:dyDescent="0.25">
      <c r="A133" s="30" t="s">
        <v>491</v>
      </c>
      <c r="B133" s="31" t="s">
        <v>706</v>
      </c>
      <c r="C133" s="31" t="s">
        <v>490</v>
      </c>
      <c r="D133" s="31" t="s">
        <v>588</v>
      </c>
      <c r="E133" s="31">
        <v>3</v>
      </c>
    </row>
    <row r="134" spans="1:5" x14ac:dyDescent="0.25">
      <c r="A134" s="30" t="s">
        <v>96</v>
      </c>
      <c r="B134" s="31">
        <v>8312013</v>
      </c>
      <c r="C134" s="31">
        <v>2013</v>
      </c>
      <c r="D134" s="31" t="s">
        <v>626</v>
      </c>
      <c r="E134" s="31">
        <v>1</v>
      </c>
    </row>
    <row r="135" spans="1:5" x14ac:dyDescent="0.25">
      <c r="A135" s="30" t="s">
        <v>492</v>
      </c>
      <c r="B135" s="31" t="s">
        <v>707</v>
      </c>
      <c r="C135" s="31">
        <v>206106</v>
      </c>
      <c r="D135" s="31" t="s">
        <v>588</v>
      </c>
      <c r="E135" s="31">
        <v>3</v>
      </c>
    </row>
    <row r="136" spans="1:5" x14ac:dyDescent="0.25">
      <c r="A136" s="30" t="s">
        <v>494</v>
      </c>
      <c r="B136" s="31" t="s">
        <v>708</v>
      </c>
      <c r="C136" s="31" t="s">
        <v>493</v>
      </c>
      <c r="D136" s="31" t="s">
        <v>588</v>
      </c>
      <c r="E136" s="31">
        <v>3</v>
      </c>
    </row>
    <row r="137" spans="1:5" x14ac:dyDescent="0.25">
      <c r="A137" s="30" t="s">
        <v>496</v>
      </c>
      <c r="B137" s="31" t="s">
        <v>709</v>
      </c>
      <c r="C137" s="31" t="s">
        <v>495</v>
      </c>
      <c r="D137" s="31" t="s">
        <v>588</v>
      </c>
      <c r="E137" s="31">
        <v>3</v>
      </c>
    </row>
    <row r="138" spans="1:5" x14ac:dyDescent="0.25">
      <c r="A138" s="30" t="s">
        <v>74</v>
      </c>
      <c r="B138" s="31">
        <v>8312457</v>
      </c>
      <c r="C138" s="31">
        <v>2457</v>
      </c>
      <c r="D138" s="31" t="s">
        <v>603</v>
      </c>
      <c r="E138" s="31">
        <v>0</v>
      </c>
    </row>
    <row r="139" spans="1:5" x14ac:dyDescent="0.25">
      <c r="A139" s="30" t="s">
        <v>93</v>
      </c>
      <c r="B139" s="31">
        <v>8312010</v>
      </c>
      <c r="C139" s="31">
        <v>2010</v>
      </c>
      <c r="D139" s="31" t="s">
        <v>626</v>
      </c>
      <c r="E139" s="31">
        <v>1</v>
      </c>
    </row>
    <row r="140" spans="1:5" x14ac:dyDescent="0.25">
      <c r="A140" s="30" t="s">
        <v>87</v>
      </c>
      <c r="B140" s="31">
        <v>8312002</v>
      </c>
      <c r="C140" s="31">
        <v>2002</v>
      </c>
      <c r="D140" s="31" t="s">
        <v>626</v>
      </c>
      <c r="E140" s="31">
        <v>1</v>
      </c>
    </row>
    <row r="141" spans="1:5" x14ac:dyDescent="0.25">
      <c r="A141" s="30" t="s">
        <v>106</v>
      </c>
      <c r="B141" s="31">
        <v>8312024</v>
      </c>
      <c r="C141" s="31">
        <v>2024</v>
      </c>
      <c r="D141" s="31" t="s">
        <v>626</v>
      </c>
      <c r="E141" s="31">
        <v>1</v>
      </c>
    </row>
    <row r="142" spans="1:5" x14ac:dyDescent="0.25">
      <c r="A142" s="30" t="s">
        <v>132</v>
      </c>
      <c r="B142" s="31">
        <v>8313544</v>
      </c>
      <c r="C142" s="31">
        <v>3544</v>
      </c>
      <c r="D142" s="31" t="s">
        <v>626</v>
      </c>
      <c r="E142" s="31">
        <v>1</v>
      </c>
    </row>
    <row r="143" spans="1:5" x14ac:dyDescent="0.25">
      <c r="A143" s="30" t="s">
        <v>323</v>
      </c>
      <c r="B143" s="31" t="s">
        <v>610</v>
      </c>
      <c r="C143" s="31">
        <v>1008</v>
      </c>
      <c r="D143" s="31" t="s">
        <v>589</v>
      </c>
      <c r="E143" s="31">
        <v>2</v>
      </c>
    </row>
    <row r="144" spans="1:5" x14ac:dyDescent="0.25">
      <c r="A144" s="30" t="s">
        <v>498</v>
      </c>
      <c r="B144" s="31" t="s">
        <v>656</v>
      </c>
      <c r="C144" s="31" t="s">
        <v>497</v>
      </c>
      <c r="D144" s="31" t="s">
        <v>588</v>
      </c>
      <c r="E144" s="31">
        <v>3</v>
      </c>
    </row>
    <row r="145" spans="1:5" x14ac:dyDescent="0.25">
      <c r="A145" s="30" t="s">
        <v>89</v>
      </c>
      <c r="B145" s="31">
        <v>8312006</v>
      </c>
      <c r="C145" s="31">
        <v>2006</v>
      </c>
      <c r="D145" s="31" t="s">
        <v>626</v>
      </c>
      <c r="E145" s="31">
        <v>1</v>
      </c>
    </row>
    <row r="146" spans="1:5" x14ac:dyDescent="0.25">
      <c r="A146" s="30" t="s">
        <v>575</v>
      </c>
      <c r="B146" s="31"/>
      <c r="C146" s="31" t="s">
        <v>574</v>
      </c>
      <c r="D146" s="31" t="s">
        <v>588</v>
      </c>
      <c r="E146" s="31">
        <v>3</v>
      </c>
    </row>
    <row r="147" spans="1:5" x14ac:dyDescent="0.25">
      <c r="A147" s="30" t="s">
        <v>500</v>
      </c>
      <c r="B147" s="31" t="s">
        <v>710</v>
      </c>
      <c r="C147" s="31" t="s">
        <v>499</v>
      </c>
      <c r="D147" s="31" t="s">
        <v>588</v>
      </c>
      <c r="E147" s="31">
        <v>3</v>
      </c>
    </row>
    <row r="148" spans="1:5" x14ac:dyDescent="0.25">
      <c r="A148" s="30" t="s">
        <v>501</v>
      </c>
      <c r="B148" s="31" t="s">
        <v>711</v>
      </c>
      <c r="C148" s="31">
        <v>206134</v>
      </c>
      <c r="D148" s="31" t="s">
        <v>588</v>
      </c>
      <c r="E148" s="31">
        <v>3</v>
      </c>
    </row>
    <row r="149" spans="1:5" x14ac:dyDescent="0.25">
      <c r="A149" s="30" t="s">
        <v>503</v>
      </c>
      <c r="B149" s="31" t="s">
        <v>712</v>
      </c>
      <c r="C149" s="31" t="s">
        <v>502</v>
      </c>
      <c r="D149" s="31" t="s">
        <v>588</v>
      </c>
      <c r="E149" s="31">
        <v>3</v>
      </c>
    </row>
    <row r="150" spans="1:5" x14ac:dyDescent="0.25">
      <c r="A150" s="30" t="s">
        <v>504</v>
      </c>
      <c r="B150" s="31" t="s">
        <v>713</v>
      </c>
      <c r="C150" s="31">
        <v>206109</v>
      </c>
      <c r="D150" s="31" t="s">
        <v>588</v>
      </c>
      <c r="E150" s="31">
        <v>3</v>
      </c>
    </row>
    <row r="151" spans="1:5" x14ac:dyDescent="0.25">
      <c r="A151" s="30" t="s">
        <v>104</v>
      </c>
      <c r="B151" s="31">
        <v>8312022</v>
      </c>
      <c r="C151" s="31">
        <v>2022</v>
      </c>
      <c r="D151" s="31" t="s">
        <v>626</v>
      </c>
      <c r="E151" s="31">
        <v>1</v>
      </c>
    </row>
    <row r="152" spans="1:5" x14ac:dyDescent="0.25">
      <c r="A152" s="30" t="s">
        <v>92</v>
      </c>
      <c r="B152" s="31">
        <v>8312009</v>
      </c>
      <c r="C152" s="31">
        <v>2009</v>
      </c>
      <c r="D152" s="31">
        <v>0</v>
      </c>
      <c r="E152" s="31">
        <v>0</v>
      </c>
    </row>
    <row r="153" spans="1:5" x14ac:dyDescent="0.25">
      <c r="A153" s="30" t="s">
        <v>149</v>
      </c>
      <c r="B153" s="31">
        <v>8316905</v>
      </c>
      <c r="C153" s="31">
        <v>6905</v>
      </c>
      <c r="D153" s="31">
        <v>0</v>
      </c>
      <c r="E153" s="31">
        <v>0</v>
      </c>
    </row>
    <row r="154" spans="1:5" x14ac:dyDescent="0.25">
      <c r="A154" s="30" t="s">
        <v>122</v>
      </c>
      <c r="B154" s="31">
        <v>8312522</v>
      </c>
      <c r="C154" s="31">
        <v>2522</v>
      </c>
      <c r="D154" s="31">
        <v>0</v>
      </c>
      <c r="E154" s="31">
        <v>0</v>
      </c>
    </row>
    <row r="155" spans="1:5" x14ac:dyDescent="0.25">
      <c r="A155" s="30" t="s">
        <v>505</v>
      </c>
      <c r="B155" s="31" t="s">
        <v>714</v>
      </c>
      <c r="C155" s="31">
        <v>206110</v>
      </c>
      <c r="D155" s="31" t="s">
        <v>588</v>
      </c>
      <c r="E155" s="31">
        <v>3</v>
      </c>
    </row>
    <row r="156" spans="1:5" x14ac:dyDescent="0.25">
      <c r="A156" s="30" t="s">
        <v>139</v>
      </c>
      <c r="B156" s="31">
        <v>8314006</v>
      </c>
      <c r="C156" s="31">
        <v>4006</v>
      </c>
      <c r="D156" s="31">
        <v>0</v>
      </c>
      <c r="E156" s="31">
        <v>0</v>
      </c>
    </row>
    <row r="157" spans="1:5" x14ac:dyDescent="0.25">
      <c r="A157" s="30" t="s">
        <v>514</v>
      </c>
      <c r="B157" s="31" t="s">
        <v>719</v>
      </c>
      <c r="C157" s="31" t="s">
        <v>513</v>
      </c>
      <c r="D157" s="31" t="s">
        <v>648</v>
      </c>
      <c r="E157" s="31">
        <v>4</v>
      </c>
    </row>
    <row r="158" spans="1:5" x14ac:dyDescent="0.25">
      <c r="A158" s="30" t="s">
        <v>507</v>
      </c>
      <c r="B158" s="31" t="s">
        <v>715</v>
      </c>
      <c r="C158" s="31" t="s">
        <v>506</v>
      </c>
      <c r="D158" s="31" t="s">
        <v>588</v>
      </c>
      <c r="E158" s="31">
        <v>3</v>
      </c>
    </row>
    <row r="159" spans="1:5" x14ac:dyDescent="0.25">
      <c r="A159" s="30" t="s">
        <v>509</v>
      </c>
      <c r="B159" s="31" t="s">
        <v>716</v>
      </c>
      <c r="C159" s="31" t="s">
        <v>508</v>
      </c>
      <c r="D159" s="31" t="s">
        <v>588</v>
      </c>
      <c r="E159" s="31">
        <v>3</v>
      </c>
    </row>
    <row r="160" spans="1:5" x14ac:dyDescent="0.25">
      <c r="A160" s="30" t="s">
        <v>511</v>
      </c>
      <c r="B160" s="31" t="s">
        <v>717</v>
      </c>
      <c r="C160" s="31" t="s">
        <v>510</v>
      </c>
      <c r="D160" s="31" t="s">
        <v>648</v>
      </c>
      <c r="E160" s="31">
        <v>4</v>
      </c>
    </row>
    <row r="161" spans="1:5" x14ac:dyDescent="0.25">
      <c r="A161" s="30" t="s">
        <v>512</v>
      </c>
      <c r="B161" s="31" t="s">
        <v>718</v>
      </c>
      <c r="C161" s="31">
        <v>509197</v>
      </c>
      <c r="D161" s="31" t="s">
        <v>588</v>
      </c>
      <c r="E161" s="31">
        <v>3</v>
      </c>
    </row>
    <row r="162" spans="1:5" x14ac:dyDescent="0.25">
      <c r="A162" s="30" t="s">
        <v>84</v>
      </c>
      <c r="B162" s="31">
        <v>8314182</v>
      </c>
      <c r="C162" s="31">
        <v>4182</v>
      </c>
      <c r="D162" s="31" t="s">
        <v>603</v>
      </c>
      <c r="E162" s="31">
        <v>0</v>
      </c>
    </row>
    <row r="163" spans="1:5" x14ac:dyDescent="0.25">
      <c r="A163" s="30" t="s">
        <v>324</v>
      </c>
      <c r="B163" s="31" t="s">
        <v>611</v>
      </c>
      <c r="C163" s="31">
        <v>1005</v>
      </c>
      <c r="D163" s="31" t="s">
        <v>589</v>
      </c>
      <c r="E163" s="31">
        <v>2</v>
      </c>
    </row>
    <row r="164" spans="1:5" x14ac:dyDescent="0.25">
      <c r="A164" s="30" t="s">
        <v>516</v>
      </c>
      <c r="B164" s="31" t="s">
        <v>720</v>
      </c>
      <c r="C164" s="31" t="s">
        <v>515</v>
      </c>
      <c r="D164" s="31" t="s">
        <v>648</v>
      </c>
      <c r="E164" s="31">
        <v>4</v>
      </c>
    </row>
    <row r="165" spans="1:5" x14ac:dyDescent="0.25">
      <c r="A165" s="30" t="s">
        <v>68</v>
      </c>
      <c r="B165" s="31">
        <v>8312436</v>
      </c>
      <c r="C165" s="31">
        <v>2436</v>
      </c>
      <c r="D165" s="31">
        <v>0</v>
      </c>
      <c r="E165" s="31">
        <v>0</v>
      </c>
    </row>
    <row r="166" spans="1:5" x14ac:dyDescent="0.25">
      <c r="A166" s="30" t="s">
        <v>517</v>
      </c>
      <c r="B166" s="31" t="s">
        <v>721</v>
      </c>
      <c r="C166" s="31">
        <v>206117</v>
      </c>
      <c r="D166" s="31" t="s">
        <v>648</v>
      </c>
      <c r="E166" s="31">
        <v>4</v>
      </c>
    </row>
    <row r="167" spans="1:5" x14ac:dyDescent="0.25">
      <c r="A167" s="30" t="s">
        <v>73</v>
      </c>
      <c r="B167" s="31" t="s">
        <v>612</v>
      </c>
      <c r="C167" s="31">
        <v>2452</v>
      </c>
      <c r="D167" s="31" t="s">
        <v>603</v>
      </c>
      <c r="E167" s="31">
        <v>1</v>
      </c>
    </row>
    <row r="168" spans="1:5" x14ac:dyDescent="0.25">
      <c r="A168" s="30" t="s">
        <v>518</v>
      </c>
      <c r="B168" s="31" t="s">
        <v>722</v>
      </c>
      <c r="C168" s="31">
        <v>206141</v>
      </c>
      <c r="D168" s="31" t="s">
        <v>588</v>
      </c>
      <c r="E168" s="31">
        <v>3</v>
      </c>
    </row>
    <row r="169" spans="1:5" x14ac:dyDescent="0.25">
      <c r="A169" s="30" t="s">
        <v>81</v>
      </c>
      <c r="B169" s="31">
        <v>8312627</v>
      </c>
      <c r="C169" s="31">
        <v>2627</v>
      </c>
      <c r="D169" s="31" t="s">
        <v>603</v>
      </c>
      <c r="E169" s="31">
        <v>0</v>
      </c>
    </row>
    <row r="170" spans="1:5" x14ac:dyDescent="0.25">
      <c r="A170" s="30" t="s">
        <v>85</v>
      </c>
      <c r="B170" s="31">
        <v>8315406</v>
      </c>
      <c r="C170" s="31">
        <v>5406</v>
      </c>
      <c r="D170" s="31" t="s">
        <v>603</v>
      </c>
      <c r="E170" s="31">
        <v>0</v>
      </c>
    </row>
    <row r="171" spans="1:5" x14ac:dyDescent="0.25">
      <c r="A171" s="30" t="s">
        <v>138</v>
      </c>
      <c r="B171" s="31">
        <v>8314005</v>
      </c>
      <c r="C171" s="31">
        <v>4005</v>
      </c>
      <c r="D171" s="31">
        <v>0</v>
      </c>
      <c r="E171" s="31">
        <v>0</v>
      </c>
    </row>
    <row r="172" spans="1:5" x14ac:dyDescent="0.25">
      <c r="A172" s="30" t="s">
        <v>151</v>
      </c>
      <c r="B172" s="31"/>
      <c r="C172" s="31" t="s">
        <v>764</v>
      </c>
      <c r="D172" s="31" t="s">
        <v>626</v>
      </c>
      <c r="E172" s="31">
        <v>1</v>
      </c>
    </row>
    <row r="173" spans="1:5" x14ac:dyDescent="0.25">
      <c r="A173" s="30" t="s">
        <v>520</v>
      </c>
      <c r="B173" s="31" t="s">
        <v>723</v>
      </c>
      <c r="C173" s="31" t="s">
        <v>519</v>
      </c>
      <c r="D173" s="31" t="s">
        <v>648</v>
      </c>
      <c r="E173" s="31">
        <v>4</v>
      </c>
    </row>
    <row r="174" spans="1:5" x14ac:dyDescent="0.25">
      <c r="A174" s="30" t="s">
        <v>79</v>
      </c>
      <c r="B174" s="31">
        <v>8312473</v>
      </c>
      <c r="C174" s="31">
        <v>2473</v>
      </c>
      <c r="D174" s="31" t="s">
        <v>603</v>
      </c>
      <c r="E174" s="31">
        <v>1</v>
      </c>
    </row>
    <row r="175" spans="1:5" x14ac:dyDescent="0.25">
      <c r="A175" s="30" t="s">
        <v>119</v>
      </c>
      <c r="B175" s="31">
        <v>8312471</v>
      </c>
      <c r="C175" s="31">
        <v>2471</v>
      </c>
      <c r="D175" s="31">
        <v>0</v>
      </c>
      <c r="E175" s="31">
        <v>0</v>
      </c>
    </row>
    <row r="176" spans="1:5" x14ac:dyDescent="0.25">
      <c r="A176" s="30" t="s">
        <v>524</v>
      </c>
      <c r="B176" s="31" t="s">
        <v>724</v>
      </c>
      <c r="C176" s="31">
        <v>258406</v>
      </c>
      <c r="D176" s="31" t="s">
        <v>648</v>
      </c>
      <c r="E176" s="31">
        <v>4</v>
      </c>
    </row>
    <row r="177" spans="1:5" x14ac:dyDescent="0.25">
      <c r="A177" s="30" t="s">
        <v>523</v>
      </c>
      <c r="B177" s="31" t="s">
        <v>765</v>
      </c>
      <c r="C177" s="31">
        <v>258408</v>
      </c>
      <c r="D177" s="31" t="s">
        <v>648</v>
      </c>
      <c r="E177" s="31">
        <v>4</v>
      </c>
    </row>
    <row r="178" spans="1:5" x14ac:dyDescent="0.25">
      <c r="A178" s="30" t="s">
        <v>62</v>
      </c>
      <c r="B178" s="31">
        <v>8312003</v>
      </c>
      <c r="C178" s="31">
        <v>2003</v>
      </c>
      <c r="D178" s="31" t="s">
        <v>603</v>
      </c>
      <c r="E178" s="31">
        <v>1</v>
      </c>
    </row>
    <row r="179" spans="1:5" x14ac:dyDescent="0.25">
      <c r="A179" s="30" t="s">
        <v>99</v>
      </c>
      <c r="B179" s="31">
        <v>8312017</v>
      </c>
      <c r="C179" s="31">
        <v>2017</v>
      </c>
      <c r="D179" s="31">
        <v>0</v>
      </c>
      <c r="E179" s="31">
        <v>0</v>
      </c>
    </row>
    <row r="180" spans="1:5" x14ac:dyDescent="0.25">
      <c r="A180" s="30" t="s">
        <v>66</v>
      </c>
      <c r="B180" s="31">
        <v>8312424</v>
      </c>
      <c r="C180" s="31">
        <v>2424</v>
      </c>
      <c r="D180" s="31" t="s">
        <v>603</v>
      </c>
      <c r="E180" s="31">
        <v>0</v>
      </c>
    </row>
    <row r="181" spans="1:5" x14ac:dyDescent="0.25">
      <c r="A181" s="30" t="s">
        <v>527</v>
      </c>
      <c r="B181" s="31" t="s">
        <v>725</v>
      </c>
      <c r="C181" s="31" t="s">
        <v>526</v>
      </c>
      <c r="D181" s="31" t="s">
        <v>648</v>
      </c>
      <c r="E181" s="31">
        <v>4</v>
      </c>
    </row>
    <row r="182" spans="1:5" x14ac:dyDescent="0.25">
      <c r="A182" s="30" t="s">
        <v>528</v>
      </c>
      <c r="B182" s="31" t="s">
        <v>726</v>
      </c>
      <c r="C182" s="31">
        <v>206146</v>
      </c>
      <c r="D182" s="31" t="s">
        <v>648</v>
      </c>
      <c r="E182" s="31">
        <v>4</v>
      </c>
    </row>
    <row r="183" spans="1:5" x14ac:dyDescent="0.25">
      <c r="A183" s="30" t="s">
        <v>69</v>
      </c>
      <c r="B183" s="31">
        <v>8312439</v>
      </c>
      <c r="C183" s="31">
        <v>2439</v>
      </c>
      <c r="D183" s="31">
        <v>0</v>
      </c>
      <c r="E183" s="31">
        <v>0</v>
      </c>
    </row>
    <row r="184" spans="1:5" x14ac:dyDescent="0.25">
      <c r="A184" s="30" t="s">
        <v>110</v>
      </c>
      <c r="B184" s="31">
        <v>8312440</v>
      </c>
      <c r="C184" s="31">
        <v>2440</v>
      </c>
      <c r="D184" s="31">
        <v>0</v>
      </c>
      <c r="E184" s="31">
        <v>0</v>
      </c>
    </row>
    <row r="185" spans="1:5" x14ac:dyDescent="0.25">
      <c r="A185" s="30" t="s">
        <v>530</v>
      </c>
      <c r="B185" s="31" t="s">
        <v>727</v>
      </c>
      <c r="C185" s="31" t="s">
        <v>529</v>
      </c>
      <c r="D185" s="31" t="s">
        <v>648</v>
      </c>
      <c r="E185" s="31">
        <v>4</v>
      </c>
    </row>
    <row r="186" spans="1:5" x14ac:dyDescent="0.25">
      <c r="A186" s="30" t="s">
        <v>77</v>
      </c>
      <c r="B186" s="31">
        <v>8312462</v>
      </c>
      <c r="C186" s="31">
        <v>2462</v>
      </c>
      <c r="D186" s="31" t="s">
        <v>603</v>
      </c>
      <c r="E186" s="31">
        <v>1</v>
      </c>
    </row>
    <row r="187" spans="1:5" x14ac:dyDescent="0.25">
      <c r="A187" s="30" t="s">
        <v>115</v>
      </c>
      <c r="B187" s="31">
        <v>8312463</v>
      </c>
      <c r="C187" s="31">
        <v>2463</v>
      </c>
      <c r="D187" s="31">
        <v>0</v>
      </c>
      <c r="E187" s="31">
        <v>0</v>
      </c>
    </row>
    <row r="188" spans="1:5" x14ac:dyDescent="0.25">
      <c r="A188" s="30" t="s">
        <v>80</v>
      </c>
      <c r="B188" s="31">
        <v>8312505</v>
      </c>
      <c r="C188" s="31">
        <v>2505</v>
      </c>
      <c r="D188" s="31" t="s">
        <v>603</v>
      </c>
      <c r="E188" s="31">
        <v>1</v>
      </c>
    </row>
    <row r="189" spans="1:5" x14ac:dyDescent="0.25">
      <c r="A189" s="30" t="s">
        <v>102</v>
      </c>
      <c r="B189" s="31">
        <v>8312020</v>
      </c>
      <c r="C189" s="31">
        <v>2020</v>
      </c>
      <c r="D189" s="31" t="s">
        <v>626</v>
      </c>
      <c r="E189" s="31">
        <v>1</v>
      </c>
    </row>
    <row r="190" spans="1:5" x14ac:dyDescent="0.25">
      <c r="A190" s="30" t="s">
        <v>75</v>
      </c>
      <c r="B190" s="31">
        <v>8312458</v>
      </c>
      <c r="C190" s="31">
        <v>2458</v>
      </c>
      <c r="D190" s="31" t="s">
        <v>603</v>
      </c>
      <c r="E190" s="31">
        <v>0</v>
      </c>
    </row>
    <row r="191" spans="1:5" x14ac:dyDescent="0.25">
      <c r="A191" s="30" t="s">
        <v>61</v>
      </c>
      <c r="B191" s="31">
        <v>8312001</v>
      </c>
      <c r="C191" s="31">
        <v>2001</v>
      </c>
      <c r="D191" s="31" t="s">
        <v>603</v>
      </c>
      <c r="E191" s="31">
        <v>1</v>
      </c>
    </row>
    <row r="192" spans="1:5" x14ac:dyDescent="0.25">
      <c r="A192" s="30" t="s">
        <v>577</v>
      </c>
      <c r="B192" s="31"/>
      <c r="C192" s="31" t="s">
        <v>576</v>
      </c>
      <c r="D192" s="31" t="s">
        <v>588</v>
      </c>
      <c r="E192" s="31">
        <v>3</v>
      </c>
    </row>
    <row r="193" spans="1:5" x14ac:dyDescent="0.25">
      <c r="A193" s="30" t="s">
        <v>67</v>
      </c>
      <c r="B193" s="31">
        <v>8312429</v>
      </c>
      <c r="C193" s="31">
        <v>2429</v>
      </c>
      <c r="D193" s="31" t="s">
        <v>603</v>
      </c>
      <c r="E193" s="31">
        <v>1</v>
      </c>
    </row>
    <row r="194" spans="1:5" x14ac:dyDescent="0.25">
      <c r="A194" s="30" t="s">
        <v>531</v>
      </c>
      <c r="B194" s="31" t="s">
        <v>728</v>
      </c>
      <c r="C194" s="31">
        <v>2534321</v>
      </c>
      <c r="D194" s="31" t="s">
        <v>648</v>
      </c>
      <c r="E194" s="31">
        <v>4</v>
      </c>
    </row>
    <row r="195" spans="1:5" x14ac:dyDescent="0.25">
      <c r="A195" s="30" t="s">
        <v>146</v>
      </c>
      <c r="B195" s="31">
        <v>8314607</v>
      </c>
      <c r="C195" s="31">
        <v>4607</v>
      </c>
      <c r="D195" s="31">
        <v>0</v>
      </c>
      <c r="E195" s="31">
        <v>0</v>
      </c>
    </row>
    <row r="196" spans="1:5" x14ac:dyDescent="0.25">
      <c r="A196" s="30" t="s">
        <v>533</v>
      </c>
      <c r="B196" s="31" t="s">
        <v>729</v>
      </c>
      <c r="C196" s="31" t="s">
        <v>532</v>
      </c>
      <c r="D196" s="31" t="s">
        <v>648</v>
      </c>
      <c r="E196" s="31">
        <v>4</v>
      </c>
    </row>
    <row r="197" spans="1:5" x14ac:dyDescent="0.25">
      <c r="A197" s="30" t="s">
        <v>573</v>
      </c>
      <c r="B197" s="31" t="s">
        <v>750</v>
      </c>
      <c r="C197" s="31" t="s">
        <v>572</v>
      </c>
      <c r="D197" s="31" t="s">
        <v>588</v>
      </c>
      <c r="E197" s="31">
        <v>3</v>
      </c>
    </row>
    <row r="198" spans="1:5" x14ac:dyDescent="0.25">
      <c r="A198" s="30" t="s">
        <v>71</v>
      </c>
      <c r="B198" s="31">
        <v>8312444</v>
      </c>
      <c r="C198" s="31">
        <v>2444</v>
      </c>
      <c r="D198" s="31" t="s">
        <v>603</v>
      </c>
      <c r="E198" s="31">
        <v>1</v>
      </c>
    </row>
    <row r="199" spans="1:5" x14ac:dyDescent="0.25">
      <c r="A199" s="30" t="s">
        <v>83</v>
      </c>
      <c r="B199" s="31">
        <v>8315209</v>
      </c>
      <c r="C199" s="31">
        <v>5209</v>
      </c>
      <c r="D199" s="31" t="s">
        <v>603</v>
      </c>
      <c r="E199" s="31">
        <v>0</v>
      </c>
    </row>
    <row r="200" spans="1:5" x14ac:dyDescent="0.25">
      <c r="A200" s="30" t="s">
        <v>535</v>
      </c>
      <c r="B200" s="31" t="s">
        <v>730</v>
      </c>
      <c r="C200" s="31" t="s">
        <v>534</v>
      </c>
      <c r="D200" s="31" t="s">
        <v>588</v>
      </c>
      <c r="E200" s="31">
        <v>3</v>
      </c>
    </row>
    <row r="201" spans="1:5" x14ac:dyDescent="0.25">
      <c r="A201" s="30" t="s">
        <v>537</v>
      </c>
      <c r="B201" s="31" t="s">
        <v>731</v>
      </c>
      <c r="C201" s="31" t="s">
        <v>536</v>
      </c>
      <c r="D201" s="31" t="s">
        <v>588</v>
      </c>
      <c r="E201" s="31">
        <v>3</v>
      </c>
    </row>
    <row r="202" spans="1:5" x14ac:dyDescent="0.25">
      <c r="A202" s="30" t="s">
        <v>539</v>
      </c>
      <c r="B202" s="31" t="s">
        <v>732</v>
      </c>
      <c r="C202" s="31" t="s">
        <v>538</v>
      </c>
      <c r="D202" s="31" t="s">
        <v>648</v>
      </c>
      <c r="E202" s="31">
        <v>4</v>
      </c>
    </row>
    <row r="203" spans="1:5" x14ac:dyDescent="0.25">
      <c r="A203" s="30" t="s">
        <v>78</v>
      </c>
      <c r="B203" s="31">
        <v>8312469</v>
      </c>
      <c r="C203" s="31">
        <v>2469</v>
      </c>
      <c r="D203" s="31" t="s">
        <v>603</v>
      </c>
      <c r="E203" s="31">
        <v>0</v>
      </c>
    </row>
    <row r="204" spans="1:5" x14ac:dyDescent="0.25">
      <c r="A204" s="30" t="s">
        <v>541</v>
      </c>
      <c r="B204" s="31" t="s">
        <v>733</v>
      </c>
      <c r="C204" s="31" t="s">
        <v>540</v>
      </c>
      <c r="D204" s="31" t="s">
        <v>648</v>
      </c>
      <c r="E204" s="31">
        <v>4</v>
      </c>
    </row>
    <row r="205" spans="1:5" x14ac:dyDescent="0.25">
      <c r="A205" s="30" t="s">
        <v>543</v>
      </c>
      <c r="B205" s="31" t="s">
        <v>734</v>
      </c>
      <c r="C205" s="31" t="s">
        <v>542</v>
      </c>
      <c r="D205" s="31" t="s">
        <v>588</v>
      </c>
      <c r="E205" s="31">
        <v>3</v>
      </c>
    </row>
    <row r="206" spans="1:5" x14ac:dyDescent="0.25">
      <c r="A206" s="30" t="s">
        <v>117</v>
      </c>
      <c r="B206" s="31">
        <v>8312466</v>
      </c>
      <c r="C206" s="31">
        <v>2466</v>
      </c>
      <c r="D206" s="31">
        <v>0</v>
      </c>
      <c r="E206" s="31">
        <v>0</v>
      </c>
    </row>
    <row r="207" spans="1:5" x14ac:dyDescent="0.25">
      <c r="A207" s="30" t="s">
        <v>131</v>
      </c>
      <c r="B207" s="31">
        <v>8313543</v>
      </c>
      <c r="C207" s="31">
        <v>3543</v>
      </c>
      <c r="D207" s="31" t="s">
        <v>626</v>
      </c>
      <c r="E207" s="31">
        <v>1</v>
      </c>
    </row>
    <row r="208" spans="1:5" x14ac:dyDescent="0.25">
      <c r="A208" s="30" t="s">
        <v>545</v>
      </c>
      <c r="B208" s="31" t="s">
        <v>735</v>
      </c>
      <c r="C208" s="31" t="s">
        <v>544</v>
      </c>
      <c r="D208" s="31" t="s">
        <v>588</v>
      </c>
      <c r="E208" s="31">
        <v>3</v>
      </c>
    </row>
    <row r="209" spans="1:5" x14ac:dyDescent="0.25">
      <c r="A209" s="30" t="s">
        <v>547</v>
      </c>
      <c r="B209" s="31" t="s">
        <v>736</v>
      </c>
      <c r="C209" s="31" t="s">
        <v>546</v>
      </c>
      <c r="D209" s="31" t="s">
        <v>588</v>
      </c>
      <c r="E209" s="31">
        <v>3</v>
      </c>
    </row>
    <row r="210" spans="1:5" x14ac:dyDescent="0.25">
      <c r="A210" s="30" t="s">
        <v>127</v>
      </c>
      <c r="B210" s="31">
        <v>8313531</v>
      </c>
      <c r="C210" s="31">
        <v>3531</v>
      </c>
      <c r="D210" s="31">
        <v>0</v>
      </c>
      <c r="E210" s="31">
        <v>0</v>
      </c>
    </row>
    <row r="211" spans="1:5" x14ac:dyDescent="0.25">
      <c r="A211" s="30" t="s">
        <v>82</v>
      </c>
      <c r="B211" s="31">
        <v>8313526</v>
      </c>
      <c r="C211" s="31">
        <v>3526</v>
      </c>
      <c r="D211" s="31" t="s">
        <v>603</v>
      </c>
      <c r="E211" s="31">
        <v>1</v>
      </c>
    </row>
    <row r="212" spans="1:5" x14ac:dyDescent="0.25">
      <c r="A212" s="30" t="s">
        <v>129</v>
      </c>
      <c r="B212" s="31">
        <v>8313535</v>
      </c>
      <c r="C212" s="31">
        <v>3535</v>
      </c>
      <c r="D212" s="31">
        <v>0</v>
      </c>
      <c r="E212" s="31">
        <v>0</v>
      </c>
    </row>
    <row r="213" spans="1:5" x14ac:dyDescent="0.25">
      <c r="A213" s="30" t="s">
        <v>91</v>
      </c>
      <c r="B213" s="31">
        <v>8312008</v>
      </c>
      <c r="C213" s="31">
        <v>2008</v>
      </c>
      <c r="D213" s="31">
        <v>0</v>
      </c>
      <c r="E213" s="31">
        <v>0</v>
      </c>
    </row>
    <row r="214" spans="1:5" x14ac:dyDescent="0.25">
      <c r="A214" s="30" t="s">
        <v>130</v>
      </c>
      <c r="B214" s="31">
        <v>8313542</v>
      </c>
      <c r="C214" s="31">
        <v>3542</v>
      </c>
      <c r="D214" s="31">
        <v>0</v>
      </c>
      <c r="E214" s="31">
        <v>0</v>
      </c>
    </row>
    <row r="215" spans="1:5" x14ac:dyDescent="0.25">
      <c r="A215" s="30" t="s">
        <v>548</v>
      </c>
      <c r="B215" s="31" t="s">
        <v>737</v>
      </c>
      <c r="C215" s="31">
        <v>206154</v>
      </c>
      <c r="D215" s="31" t="s">
        <v>588</v>
      </c>
      <c r="E215" s="31">
        <v>3</v>
      </c>
    </row>
    <row r="216" spans="1:5" x14ac:dyDescent="0.25">
      <c r="A216" s="30" t="s">
        <v>125</v>
      </c>
      <c r="B216" s="31">
        <v>8313528</v>
      </c>
      <c r="C216" s="31">
        <v>3528</v>
      </c>
      <c r="D216" s="31" t="s">
        <v>626</v>
      </c>
      <c r="E216" s="31">
        <v>1</v>
      </c>
    </row>
    <row r="217" spans="1:5" x14ac:dyDescent="0.25">
      <c r="A217" s="30" t="s">
        <v>107</v>
      </c>
      <c r="B217" s="31">
        <v>8312025</v>
      </c>
      <c r="C217" s="31">
        <v>2025</v>
      </c>
      <c r="D217" s="31">
        <v>0</v>
      </c>
      <c r="E217" s="31">
        <v>0</v>
      </c>
    </row>
    <row r="218" spans="1:5" x14ac:dyDescent="0.25">
      <c r="A218" s="30" t="s">
        <v>128</v>
      </c>
      <c r="B218" s="31">
        <v>8313532</v>
      </c>
      <c r="C218" s="31">
        <v>3532</v>
      </c>
      <c r="D218" s="31">
        <v>0</v>
      </c>
      <c r="E218" s="31">
        <v>0</v>
      </c>
    </row>
    <row r="219" spans="1:5" x14ac:dyDescent="0.25">
      <c r="A219" s="30" t="s">
        <v>325</v>
      </c>
      <c r="B219" s="31" t="s">
        <v>623</v>
      </c>
      <c r="C219" s="31">
        <v>1010</v>
      </c>
      <c r="D219" s="31" t="s">
        <v>589</v>
      </c>
      <c r="E219" s="31">
        <v>2</v>
      </c>
    </row>
    <row r="220" spans="1:5" x14ac:dyDescent="0.25">
      <c r="A220" s="30" t="s">
        <v>550</v>
      </c>
      <c r="B220" s="31" t="s">
        <v>738</v>
      </c>
      <c r="C220" s="31" t="s">
        <v>549</v>
      </c>
      <c r="D220" s="31" t="s">
        <v>588</v>
      </c>
      <c r="E220" s="31">
        <v>3</v>
      </c>
    </row>
    <row r="221" spans="1:5" x14ac:dyDescent="0.25">
      <c r="A221" s="30" t="s">
        <v>86</v>
      </c>
      <c r="B221" s="31">
        <v>8314177</v>
      </c>
      <c r="C221" s="31">
        <v>4177</v>
      </c>
      <c r="D221" s="31" t="s">
        <v>603</v>
      </c>
      <c r="E221" s="31">
        <v>1</v>
      </c>
    </row>
    <row r="222" spans="1:5" x14ac:dyDescent="0.25">
      <c r="A222" s="30" t="s">
        <v>553</v>
      </c>
      <c r="B222" s="31" t="s">
        <v>739</v>
      </c>
      <c r="C222" s="31" t="s">
        <v>552</v>
      </c>
      <c r="D222" s="31" t="s">
        <v>588</v>
      </c>
      <c r="E222" s="31">
        <v>3</v>
      </c>
    </row>
    <row r="223" spans="1:5" x14ac:dyDescent="0.25">
      <c r="A223" s="30" t="s">
        <v>554</v>
      </c>
      <c r="B223" s="31" t="s">
        <v>740</v>
      </c>
      <c r="C223" s="31">
        <v>206103</v>
      </c>
      <c r="D223" s="31" t="s">
        <v>648</v>
      </c>
      <c r="E223" s="31">
        <v>4</v>
      </c>
    </row>
    <row r="224" spans="1:5" x14ac:dyDescent="0.25">
      <c r="A224" s="30" t="s">
        <v>555</v>
      </c>
      <c r="B224" s="31">
        <v>0</v>
      </c>
      <c r="C224" s="31">
        <v>2614882</v>
      </c>
      <c r="D224" s="31" t="s">
        <v>648</v>
      </c>
      <c r="E224" s="31">
        <v>4</v>
      </c>
    </row>
    <row r="225" spans="1:5" x14ac:dyDescent="0.25">
      <c r="A225" s="30" t="s">
        <v>557</v>
      </c>
      <c r="B225" s="31" t="s">
        <v>741</v>
      </c>
      <c r="C225" s="31" t="s">
        <v>556</v>
      </c>
      <c r="D225" s="31" t="s">
        <v>648</v>
      </c>
      <c r="E225" s="31">
        <v>4</v>
      </c>
    </row>
    <row r="226" spans="1:5" x14ac:dyDescent="0.25">
      <c r="A226" s="30" t="s">
        <v>522</v>
      </c>
      <c r="B226" s="31">
        <v>0</v>
      </c>
      <c r="C226" s="31" t="s">
        <v>521</v>
      </c>
      <c r="D226" s="31" t="s">
        <v>588</v>
      </c>
      <c r="E226" s="31">
        <v>3</v>
      </c>
    </row>
    <row r="227" spans="1:5" x14ac:dyDescent="0.25">
      <c r="A227" s="30" t="s">
        <v>559</v>
      </c>
      <c r="B227" s="31" t="s">
        <v>742</v>
      </c>
      <c r="C227" s="31" t="s">
        <v>558</v>
      </c>
      <c r="D227" s="31" t="s">
        <v>648</v>
      </c>
      <c r="E227" s="31">
        <v>4</v>
      </c>
    </row>
    <row r="228" spans="1:5" x14ac:dyDescent="0.25">
      <c r="A228" s="30" t="s">
        <v>560</v>
      </c>
      <c r="B228" s="31">
        <v>0</v>
      </c>
      <c r="C228" s="31">
        <v>2498864</v>
      </c>
      <c r="D228" s="31" t="s">
        <v>648</v>
      </c>
      <c r="E228" s="31">
        <v>4</v>
      </c>
    </row>
    <row r="229" spans="1:5" x14ac:dyDescent="0.25">
      <c r="A229" s="30" t="s">
        <v>562</v>
      </c>
      <c r="B229" s="31" t="s">
        <v>743</v>
      </c>
      <c r="C229" s="31" t="s">
        <v>561</v>
      </c>
      <c r="D229" s="31" t="s">
        <v>588</v>
      </c>
      <c r="E229" s="31">
        <v>3</v>
      </c>
    </row>
    <row r="230" spans="1:5" x14ac:dyDescent="0.25">
      <c r="A230" s="30" t="s">
        <v>563</v>
      </c>
      <c r="B230" s="31" t="s">
        <v>744</v>
      </c>
      <c r="C230" s="31">
        <v>258424</v>
      </c>
      <c r="D230" s="31" t="s">
        <v>648</v>
      </c>
      <c r="E230" s="31">
        <v>4</v>
      </c>
    </row>
    <row r="231" spans="1:5" x14ac:dyDescent="0.25">
      <c r="A231" s="30" t="s">
        <v>142</v>
      </c>
      <c r="B231" s="31">
        <v>8314010</v>
      </c>
      <c r="C231" s="31">
        <v>4010</v>
      </c>
      <c r="D231" s="31">
        <v>0</v>
      </c>
      <c r="E231" s="31">
        <v>0</v>
      </c>
    </row>
    <row r="232" spans="1:5" x14ac:dyDescent="0.25">
      <c r="A232" s="30" t="s">
        <v>133</v>
      </c>
      <c r="B232" s="31">
        <v>8313546</v>
      </c>
      <c r="C232" s="31">
        <v>3546</v>
      </c>
      <c r="D232" s="31" t="s">
        <v>626</v>
      </c>
      <c r="E232" s="31">
        <v>1</v>
      </c>
    </row>
    <row r="233" spans="1:5" x14ac:dyDescent="0.25">
      <c r="A233" s="30" t="s">
        <v>326</v>
      </c>
      <c r="B233" s="31" t="s">
        <v>624</v>
      </c>
      <c r="C233" s="31">
        <v>1009</v>
      </c>
      <c r="D233" s="31" t="s">
        <v>589</v>
      </c>
      <c r="E233" s="31">
        <v>2</v>
      </c>
    </row>
    <row r="234" spans="1:5" x14ac:dyDescent="0.25">
      <c r="A234" s="30" t="s">
        <v>126</v>
      </c>
      <c r="B234" s="31">
        <v>8313530</v>
      </c>
      <c r="C234" s="31">
        <v>3530</v>
      </c>
      <c r="D234" s="31" t="s">
        <v>626</v>
      </c>
      <c r="E234" s="31">
        <v>1</v>
      </c>
    </row>
    <row r="235" spans="1:5" x14ac:dyDescent="0.25">
      <c r="A235" s="30" t="s">
        <v>147</v>
      </c>
      <c r="B235" s="31">
        <v>8315412</v>
      </c>
      <c r="C235" s="31">
        <v>5412</v>
      </c>
      <c r="D235" s="31">
        <v>0</v>
      </c>
      <c r="E235" s="31">
        <v>0</v>
      </c>
    </row>
    <row r="236" spans="1:5" x14ac:dyDescent="0.25">
      <c r="A236" s="30" t="s">
        <v>565</v>
      </c>
      <c r="B236" s="31" t="s">
        <v>745</v>
      </c>
      <c r="C236" s="31" t="s">
        <v>564</v>
      </c>
      <c r="D236" s="31" t="s">
        <v>648</v>
      </c>
      <c r="E236" s="31">
        <v>4</v>
      </c>
    </row>
    <row r="237" spans="1:5" x14ac:dyDescent="0.25">
      <c r="A237" s="30" t="s">
        <v>567</v>
      </c>
      <c r="B237" s="31" t="s">
        <v>746</v>
      </c>
      <c r="C237" s="31" t="s">
        <v>566</v>
      </c>
      <c r="D237" s="31" t="s">
        <v>588</v>
      </c>
      <c r="E237" s="31">
        <v>3</v>
      </c>
    </row>
    <row r="238" spans="1:5" x14ac:dyDescent="0.25">
      <c r="A238" s="30" t="s">
        <v>327</v>
      </c>
      <c r="B238" s="31" t="s">
        <v>625</v>
      </c>
      <c r="C238" s="31">
        <v>1015</v>
      </c>
      <c r="D238" s="31" t="s">
        <v>589</v>
      </c>
      <c r="E238" s="31">
        <v>2</v>
      </c>
    </row>
    <row r="239" spans="1:5" x14ac:dyDescent="0.25">
      <c r="A239" s="30" t="s">
        <v>569</v>
      </c>
      <c r="B239" s="31" t="s">
        <v>747</v>
      </c>
      <c r="C239" s="31" t="s">
        <v>568</v>
      </c>
      <c r="D239" s="31" t="s">
        <v>648</v>
      </c>
      <c r="E239" s="31">
        <v>4</v>
      </c>
    </row>
    <row r="240" spans="1:5" x14ac:dyDescent="0.25">
      <c r="A240" s="30" t="s">
        <v>570</v>
      </c>
      <c r="B240" s="31" t="s">
        <v>748</v>
      </c>
      <c r="C240" s="31">
        <v>2568273</v>
      </c>
      <c r="D240" s="31" t="s">
        <v>648</v>
      </c>
      <c r="E240" s="31">
        <v>4</v>
      </c>
    </row>
    <row r="241" spans="1:5" x14ac:dyDescent="0.25">
      <c r="A241" s="30" t="s">
        <v>571</v>
      </c>
      <c r="B241" s="31" t="s">
        <v>749</v>
      </c>
      <c r="C241" s="31">
        <v>509204</v>
      </c>
      <c r="D241" s="31" t="s">
        <v>648</v>
      </c>
      <c r="E241" s="31">
        <v>4</v>
      </c>
    </row>
    <row r="242" spans="1:5" x14ac:dyDescent="0.25">
      <c r="A242" s="30" t="s">
        <v>76</v>
      </c>
      <c r="B242" s="31">
        <v>8312459</v>
      </c>
      <c r="C242" s="31">
        <v>2459</v>
      </c>
      <c r="D242" s="31" t="s">
        <v>603</v>
      </c>
      <c r="E242" s="31">
        <v>0</v>
      </c>
    </row>
    <row r="243" spans="1:5" x14ac:dyDescent="0.25">
      <c r="A243" s="30" t="s">
        <v>90</v>
      </c>
      <c r="B243" s="31">
        <v>8312007</v>
      </c>
      <c r="C243" s="31">
        <v>2007</v>
      </c>
      <c r="D243" s="31" t="s">
        <v>626</v>
      </c>
      <c r="E243" s="31">
        <v>1</v>
      </c>
    </row>
    <row r="244" spans="1:5" x14ac:dyDescent="0.25">
      <c r="A244" s="30" t="s">
        <v>134</v>
      </c>
      <c r="B244" s="31">
        <v>8314000</v>
      </c>
      <c r="C244" s="31">
        <v>4000</v>
      </c>
      <c r="D244" s="31" t="s">
        <v>626</v>
      </c>
      <c r="E244" s="31">
        <v>1</v>
      </c>
    </row>
  </sheetData>
  <sheetProtection algorithmName="SHA-512" hashValue="2Y/lpFhAe1t40To8dgXANBC8AcuKBmKdM9vEf7ZE4CbqWOD2S4tJ9VLnbOZx5aUzkueND2uHHDUgeBgOA0ce6Q==" saltValue="bJrsTQzJGD+Bm1FD03KbfA==" spinCount="100000" sheet="1" objects="1" scenarios="1" autoFilter="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8836-5EE3-41BB-B0A2-041F027EAB0D}">
  <sheetPr codeName="Sheet6"/>
  <dimension ref="A1:F25"/>
  <sheetViews>
    <sheetView zoomScale="55" zoomScaleNormal="80" workbookViewId="0">
      <selection activeCell="L16" sqref="L16"/>
    </sheetView>
  </sheetViews>
  <sheetFormatPr defaultColWidth="9.1796875" defaultRowHeight="12.5" x14ac:dyDescent="0.25"/>
  <cols>
    <col min="1" max="1" width="19.1796875" style="264" customWidth="1"/>
    <col min="2" max="2" width="59.1796875" style="264" customWidth="1"/>
    <col min="3" max="3" width="27" style="264" customWidth="1"/>
    <col min="4" max="4" width="61.81640625" style="264" customWidth="1"/>
    <col min="5" max="5" width="9.1796875" style="264"/>
    <col min="6" max="6" width="15" style="264" customWidth="1"/>
    <col min="7" max="16384" width="9.1796875" style="264"/>
  </cols>
  <sheetData>
    <row r="1" spans="1:6" ht="18" customHeight="1" thickBot="1" x14ac:dyDescent="0.3"/>
    <row r="2" spans="1:6" ht="18" customHeight="1" x14ac:dyDescent="0.25">
      <c r="A2" s="50"/>
      <c r="B2" s="726" t="s">
        <v>152</v>
      </c>
    </row>
    <row r="3" spans="1:6" ht="18" customHeight="1" x14ac:dyDescent="0.25">
      <c r="A3" s="50"/>
      <c r="B3" s="727"/>
    </row>
    <row r="4" spans="1:6" ht="18" customHeight="1" thickBot="1" x14ac:dyDescent="0.3">
      <c r="A4" s="50"/>
      <c r="B4" s="728"/>
    </row>
    <row r="6" spans="1:6" ht="13" thickBot="1" x14ac:dyDescent="0.3"/>
    <row r="7" spans="1:6" ht="33" customHeight="1" thickBot="1" x14ac:dyDescent="0.3">
      <c r="B7" s="267" t="s">
        <v>1353</v>
      </c>
      <c r="C7" s="268"/>
    </row>
    <row r="9" spans="1:6" ht="13" thickBot="1" x14ac:dyDescent="0.3"/>
    <row r="10" spans="1:6" ht="31.5" customHeight="1" x14ac:dyDescent="0.25">
      <c r="B10" s="729" t="s">
        <v>153</v>
      </c>
      <c r="C10" s="730"/>
      <c r="D10" s="731"/>
      <c r="E10" s="262"/>
      <c r="F10" s="735" t="s">
        <v>1121</v>
      </c>
    </row>
    <row r="11" spans="1:6" ht="30" customHeight="1" thickBot="1" x14ac:dyDescent="0.3">
      <c r="B11" s="747"/>
      <c r="C11" s="748"/>
      <c r="D11" s="749"/>
      <c r="E11" s="50"/>
      <c r="F11" s="736"/>
    </row>
    <row r="12" spans="1:6" ht="33.75" customHeight="1" thickTop="1" thickBot="1" x14ac:dyDescent="0.3">
      <c r="B12" s="750" t="s">
        <v>751</v>
      </c>
      <c r="C12" s="751" t="s">
        <v>155</v>
      </c>
      <c r="D12" s="752" t="s">
        <v>155</v>
      </c>
      <c r="E12" s="77"/>
      <c r="F12" s="226" t="str">
        <f>VLOOKUP(Main_Summary,'Schools Lookup'!A:B,2,FALSE)</f>
        <v>XXX</v>
      </c>
    </row>
    <row r="13" spans="1:6" ht="19.5" customHeight="1" thickTop="1" x14ac:dyDescent="0.25"/>
    <row r="14" spans="1:6" ht="17.25" customHeight="1" thickBot="1" x14ac:dyDescent="0.3">
      <c r="D14" s="275" t="s">
        <v>156</v>
      </c>
    </row>
    <row r="15" spans="1:6" ht="27.75" customHeight="1" thickBot="1" x14ac:dyDescent="0.3">
      <c r="B15" s="278" t="s">
        <v>157</v>
      </c>
    </row>
    <row r="16" spans="1:6" ht="40" customHeight="1" x14ac:dyDescent="0.25">
      <c r="B16" s="269" t="s">
        <v>158</v>
      </c>
      <c r="C16" s="272">
        <f>'Schools Block'!I59</f>
        <v>274756686.35717505</v>
      </c>
    </row>
    <row r="17" spans="2:3" ht="40" customHeight="1" x14ac:dyDescent="0.25">
      <c r="B17" s="270" t="s">
        <v>159</v>
      </c>
      <c r="C17" s="273">
        <f>SUMIF(ERS!A:A,'Schools Summary'!F12,ERS!G:G)</f>
        <v>3928416.6666666665</v>
      </c>
    </row>
    <row r="18" spans="2:3" ht="40" customHeight="1" x14ac:dyDescent="0.25">
      <c r="B18" s="270" t="s">
        <v>160</v>
      </c>
      <c r="C18" s="273">
        <f>'Early Years'!H29</f>
        <v>10033120.372445455</v>
      </c>
    </row>
    <row r="19" spans="2:3" ht="40" customHeight="1" thickBot="1" x14ac:dyDescent="0.3">
      <c r="B19" s="271"/>
      <c r="C19" s="274"/>
    </row>
    <row r="20" spans="2:3" ht="36.75" customHeight="1" thickBot="1" x14ac:dyDescent="0.3">
      <c r="B20" s="276" t="s">
        <v>161</v>
      </c>
      <c r="C20" s="277">
        <f>SUM(C16:C19)</f>
        <v>288718223.3962872</v>
      </c>
    </row>
    <row r="21" spans="2:3" ht="13" thickTop="1" x14ac:dyDescent="0.25"/>
    <row r="22" spans="2:3" ht="15.5" x14ac:dyDescent="0.25">
      <c r="B22" s="48" t="s">
        <v>162</v>
      </c>
    </row>
    <row r="23" spans="2:3" ht="24.75" customHeight="1" x14ac:dyDescent="0.25">
      <c r="B23" s="266" t="s">
        <v>1354</v>
      </c>
      <c r="C23" s="265">
        <f>'Schools Block'!I64</f>
        <v>1720832.33</v>
      </c>
    </row>
    <row r="24" spans="2:3" ht="18.75" customHeight="1" x14ac:dyDescent="0.25"/>
    <row r="25" spans="2:3" ht="20" x14ac:dyDescent="0.25">
      <c r="B25" s="283" t="s">
        <v>163</v>
      </c>
    </row>
  </sheetData>
  <sheetProtection algorithmName="SHA-512" hashValue="It1bej/Rn/6F3aFPbO0wfr4xDm6t052kDjNjyRk/V2peDk0i+YdYWh8Ixqa+cmjJIO0jcUneBeMt7fYPuXJn8g==" saltValue="JX4qgNlR+IqIjRQpT6Gf5A==" spinCount="100000" sheet="1" autoFilter="0"/>
  <mergeCells count="4">
    <mergeCell ref="B10:D11"/>
    <mergeCell ref="F10:F11"/>
    <mergeCell ref="B12:D12"/>
    <mergeCell ref="B2:B4"/>
  </mergeCells>
  <conditionalFormatting sqref="B16:B19">
    <cfRule type="expression" dxfId="36" priority="1">
      <formula>C16&gt;0</formula>
    </cfRule>
  </conditionalFormatting>
  <conditionalFormatting sqref="C16:C19">
    <cfRule type="cellIs" dxfId="35" priority="2" operator="greaterThan">
      <formula>0</formula>
    </cfRule>
  </conditionalFormatting>
  <hyperlinks>
    <hyperlink ref="B2" r:id="rId1" display="mailto:schoolfinanceteam@derby.gov.uk" xr:uid="{9CE2C4DA-0B60-4240-B4D3-803140B26254}"/>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078592A-535F-48B7-9390-A1AECD3BD978}">
          <x14:formula1>
            <xm:f>'Schools Lookup'!$F$7:$F$105</xm:f>
          </x14:formula1>
          <xm:sqref>B12:D12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809EA-CAFD-42E3-80DC-4BE559808B14}">
  <sheetPr codeName="Sheet2">
    <tabColor rgb="FF7030A0"/>
  </sheetPr>
  <dimension ref="A1:D53"/>
  <sheetViews>
    <sheetView workbookViewId="0"/>
  </sheetViews>
  <sheetFormatPr defaultRowHeight="12.5" x14ac:dyDescent="0.25"/>
  <cols>
    <col min="1" max="1" width="65" bestFit="1" customWidth="1"/>
    <col min="2" max="3" width="32" bestFit="1" customWidth="1"/>
    <col min="4" max="4" width="12.1796875" bestFit="1" customWidth="1"/>
  </cols>
  <sheetData>
    <row r="1" spans="1:4" ht="13.5" x14ac:dyDescent="0.25">
      <c r="A1" s="460" t="s">
        <v>1124</v>
      </c>
      <c r="B1" s="469" t="s">
        <v>1125</v>
      </c>
      <c r="C1" s="469" t="s">
        <v>1348</v>
      </c>
      <c r="D1" s="461"/>
    </row>
    <row r="2" spans="1:4" ht="13.5" x14ac:dyDescent="0.25">
      <c r="A2" s="460"/>
      <c r="B2" s="469"/>
      <c r="C2" s="469"/>
      <c r="D2" s="461"/>
    </row>
    <row r="3" spans="1:4" ht="13.5" x14ac:dyDescent="0.25">
      <c r="A3" s="462" t="s">
        <v>1126</v>
      </c>
      <c r="B3" s="461"/>
      <c r="C3" s="461"/>
      <c r="D3" s="461"/>
    </row>
    <row r="4" spans="1:4" ht="13.5" x14ac:dyDescent="0.25">
      <c r="A4" s="462"/>
      <c r="B4" s="461"/>
      <c r="C4" s="461"/>
      <c r="D4" s="461"/>
    </row>
    <row r="5" spans="1:4" ht="13.5" x14ac:dyDescent="0.25">
      <c r="A5" s="470" t="s">
        <v>1127</v>
      </c>
      <c r="B5" s="463">
        <v>3847</v>
      </c>
      <c r="C5" s="463">
        <v>4064</v>
      </c>
      <c r="D5" s="464">
        <v>217</v>
      </c>
    </row>
    <row r="6" spans="1:4" ht="13.5" x14ac:dyDescent="0.25">
      <c r="A6" s="470" t="s">
        <v>1128</v>
      </c>
      <c r="B6" s="463">
        <v>5422</v>
      </c>
      <c r="C6" s="463">
        <v>5686</v>
      </c>
      <c r="D6" s="464">
        <v>264</v>
      </c>
    </row>
    <row r="7" spans="1:4" ht="13.5" x14ac:dyDescent="0.25">
      <c r="A7" s="470" t="s">
        <v>1129</v>
      </c>
      <c r="B7" s="463">
        <v>6113</v>
      </c>
      <c r="C7" s="463">
        <v>6410</v>
      </c>
      <c r="D7" s="464">
        <v>297</v>
      </c>
    </row>
    <row r="8" spans="1:4" ht="13.5" x14ac:dyDescent="0.25">
      <c r="A8" s="471"/>
      <c r="B8" s="463"/>
      <c r="C8" s="463"/>
      <c r="D8" s="461"/>
    </row>
    <row r="9" spans="1:4" ht="13.5" x14ac:dyDescent="0.25">
      <c r="A9" s="462" t="s">
        <v>201</v>
      </c>
      <c r="B9" s="472"/>
      <c r="C9" s="472"/>
      <c r="D9" s="461"/>
    </row>
    <row r="10" spans="1:4" ht="13.5" x14ac:dyDescent="0.25">
      <c r="A10" s="462" t="s">
        <v>1130</v>
      </c>
      <c r="B10" s="472"/>
      <c r="C10" s="472"/>
      <c r="D10" s="461"/>
    </row>
    <row r="11" spans="1:4" ht="13.5" x14ac:dyDescent="0.25">
      <c r="A11" s="465" t="s">
        <v>1131</v>
      </c>
      <c r="B11" s="466">
        <v>495</v>
      </c>
      <c r="C11" s="466">
        <v>505</v>
      </c>
      <c r="D11" s="464">
        <v>10</v>
      </c>
    </row>
    <row r="12" spans="1:4" ht="13.5" x14ac:dyDescent="0.25">
      <c r="A12" s="465" t="s">
        <v>1132</v>
      </c>
      <c r="B12" s="466">
        <v>1060</v>
      </c>
      <c r="C12" s="466">
        <v>1210</v>
      </c>
      <c r="D12" s="464">
        <v>150</v>
      </c>
    </row>
    <row r="13" spans="1:4" ht="13.5" x14ac:dyDescent="0.25">
      <c r="A13" s="470" t="s">
        <v>1133</v>
      </c>
      <c r="B13" s="466">
        <v>235</v>
      </c>
      <c r="C13" s="466">
        <v>240</v>
      </c>
      <c r="D13" s="464">
        <v>5</v>
      </c>
    </row>
    <row r="14" spans="1:4" ht="13.5" x14ac:dyDescent="0.25">
      <c r="A14" s="470" t="s">
        <v>1134</v>
      </c>
      <c r="B14" s="466">
        <v>285</v>
      </c>
      <c r="C14" s="466">
        <v>290</v>
      </c>
      <c r="D14" s="464">
        <v>5</v>
      </c>
    </row>
    <row r="15" spans="1:4" ht="13.5" x14ac:dyDescent="0.25">
      <c r="A15" s="470" t="s">
        <v>1135</v>
      </c>
      <c r="B15" s="466">
        <v>445</v>
      </c>
      <c r="C15" s="466">
        <v>455</v>
      </c>
      <c r="D15" s="464">
        <v>10</v>
      </c>
    </row>
    <row r="16" spans="1:4" ht="13.5" x14ac:dyDescent="0.25">
      <c r="A16" s="470" t="s">
        <v>1136</v>
      </c>
      <c r="B16" s="466">
        <v>490</v>
      </c>
      <c r="C16" s="466">
        <v>500</v>
      </c>
      <c r="D16" s="464">
        <v>10</v>
      </c>
    </row>
    <row r="17" spans="1:4" ht="13.5" x14ac:dyDescent="0.25">
      <c r="A17" s="470" t="s">
        <v>1137</v>
      </c>
      <c r="B17" s="466">
        <v>520</v>
      </c>
      <c r="C17" s="466">
        <v>530</v>
      </c>
      <c r="D17" s="464">
        <v>10</v>
      </c>
    </row>
    <row r="18" spans="1:4" ht="13.5" x14ac:dyDescent="0.25">
      <c r="A18" s="470" t="s">
        <v>1138</v>
      </c>
      <c r="B18" s="466">
        <v>685</v>
      </c>
      <c r="C18" s="466">
        <v>700</v>
      </c>
      <c r="D18" s="464">
        <v>15</v>
      </c>
    </row>
    <row r="19" spans="1:4" ht="13.5" x14ac:dyDescent="0.25">
      <c r="A19" s="462" t="s">
        <v>1139</v>
      </c>
      <c r="B19" s="466"/>
      <c r="C19" s="466"/>
      <c r="D19" s="461"/>
    </row>
    <row r="20" spans="1:4" ht="13.5" x14ac:dyDescent="0.25">
      <c r="A20" s="465" t="s">
        <v>1131</v>
      </c>
      <c r="B20" s="466">
        <v>495</v>
      </c>
      <c r="C20" s="466">
        <v>505</v>
      </c>
      <c r="D20" s="464">
        <v>10</v>
      </c>
    </row>
    <row r="21" spans="1:4" ht="13.5" x14ac:dyDescent="0.25">
      <c r="A21" s="465" t="s">
        <v>1132</v>
      </c>
      <c r="B21" s="466">
        <v>1555</v>
      </c>
      <c r="C21" s="466">
        <v>1725</v>
      </c>
      <c r="D21" s="464">
        <v>170</v>
      </c>
    </row>
    <row r="22" spans="1:4" ht="13.5" x14ac:dyDescent="0.25">
      <c r="A22" s="470" t="s">
        <v>1133</v>
      </c>
      <c r="B22" s="466">
        <v>340</v>
      </c>
      <c r="C22" s="466">
        <v>345</v>
      </c>
      <c r="D22" s="464">
        <v>5</v>
      </c>
    </row>
    <row r="23" spans="1:4" ht="13.5" x14ac:dyDescent="0.25">
      <c r="A23" s="470" t="s">
        <v>1134</v>
      </c>
      <c r="B23" s="466">
        <v>450</v>
      </c>
      <c r="C23" s="466">
        <v>460</v>
      </c>
      <c r="D23" s="464">
        <v>10</v>
      </c>
    </row>
    <row r="24" spans="1:4" ht="13.5" x14ac:dyDescent="0.25">
      <c r="A24" s="470" t="s">
        <v>1135</v>
      </c>
      <c r="B24" s="466">
        <v>635</v>
      </c>
      <c r="C24" s="466">
        <v>650</v>
      </c>
      <c r="D24" s="464">
        <v>15</v>
      </c>
    </row>
    <row r="25" spans="1:4" ht="13.5" x14ac:dyDescent="0.25">
      <c r="A25" s="470" t="s">
        <v>1136</v>
      </c>
      <c r="B25" s="466">
        <v>695</v>
      </c>
      <c r="C25" s="466">
        <v>710</v>
      </c>
      <c r="D25" s="464">
        <v>15</v>
      </c>
    </row>
    <row r="26" spans="1:4" ht="13.5" x14ac:dyDescent="0.25">
      <c r="A26" s="470" t="s">
        <v>1137</v>
      </c>
      <c r="B26" s="466">
        <v>745</v>
      </c>
      <c r="C26" s="466">
        <v>760</v>
      </c>
      <c r="D26" s="464">
        <v>15</v>
      </c>
    </row>
    <row r="27" spans="1:4" ht="13.5" x14ac:dyDescent="0.25">
      <c r="A27" s="470" t="s">
        <v>1138</v>
      </c>
      <c r="B27" s="466">
        <v>950</v>
      </c>
      <c r="C27" s="466">
        <v>970</v>
      </c>
      <c r="D27" s="464">
        <v>20</v>
      </c>
    </row>
    <row r="28" spans="1:4" ht="13.5" x14ac:dyDescent="0.25">
      <c r="A28" s="473"/>
      <c r="B28" s="466"/>
      <c r="C28" s="466"/>
      <c r="D28" s="461"/>
    </row>
    <row r="29" spans="1:4" ht="13.5" x14ac:dyDescent="0.25">
      <c r="A29" s="471" t="s">
        <v>1140</v>
      </c>
      <c r="B29" s="464"/>
      <c r="C29" s="464"/>
      <c r="D29" s="461"/>
    </row>
    <row r="30" spans="1:4" ht="13.5" x14ac:dyDescent="0.25">
      <c r="A30" s="465" t="s">
        <v>1141</v>
      </c>
      <c r="B30" s="463"/>
      <c r="C30" s="463"/>
      <c r="D30" s="464">
        <v>0</v>
      </c>
    </row>
    <row r="31" spans="1:4" ht="13.5" x14ac:dyDescent="0.25">
      <c r="A31" s="470"/>
      <c r="B31" s="463"/>
      <c r="C31" s="463"/>
      <c r="D31" s="461"/>
    </row>
    <row r="32" spans="1:4" ht="13.5" x14ac:dyDescent="0.25">
      <c r="A32" s="462" t="s">
        <v>1142</v>
      </c>
      <c r="B32" s="464"/>
      <c r="C32" s="464"/>
      <c r="D32" s="461"/>
    </row>
    <row r="33" spans="1:4" ht="13.5" x14ac:dyDescent="0.25">
      <c r="A33" s="465" t="s">
        <v>1143</v>
      </c>
      <c r="B33" s="466">
        <v>595</v>
      </c>
      <c r="C33" s="466">
        <v>610</v>
      </c>
      <c r="D33" s="464">
        <v>15</v>
      </c>
    </row>
    <row r="34" spans="1:4" ht="13.5" x14ac:dyDescent="0.25">
      <c r="A34" s="465" t="s">
        <v>1144</v>
      </c>
      <c r="B34" s="466">
        <v>1595</v>
      </c>
      <c r="C34" s="466">
        <v>1630</v>
      </c>
      <c r="D34" s="464">
        <v>35</v>
      </c>
    </row>
    <row r="35" spans="1:4" ht="13.5" x14ac:dyDescent="0.25">
      <c r="A35" s="473"/>
      <c r="B35" s="463"/>
      <c r="C35" s="463"/>
      <c r="D35" s="461"/>
    </row>
    <row r="36" spans="1:4" ht="13.5" x14ac:dyDescent="0.25">
      <c r="A36" s="471" t="s">
        <v>219</v>
      </c>
      <c r="B36" s="464"/>
      <c r="C36" s="464"/>
      <c r="D36" s="461"/>
    </row>
    <row r="37" spans="1:4" ht="13.5" x14ac:dyDescent="0.25">
      <c r="A37" s="470" t="s">
        <v>1145</v>
      </c>
      <c r="B37" s="466"/>
      <c r="C37" s="466"/>
      <c r="D37" s="461"/>
    </row>
    <row r="38" spans="1:4" ht="13.5" x14ac:dyDescent="0.25">
      <c r="A38" s="470" t="s">
        <v>265</v>
      </c>
      <c r="B38" s="466">
        <v>965</v>
      </c>
      <c r="C38" s="466">
        <v>985</v>
      </c>
      <c r="D38" s="464">
        <v>20</v>
      </c>
    </row>
    <row r="39" spans="1:4" ht="13.5" x14ac:dyDescent="0.25">
      <c r="A39" s="470" t="s">
        <v>197</v>
      </c>
      <c r="B39" s="466">
        <v>1385</v>
      </c>
      <c r="C39" s="466">
        <v>1415</v>
      </c>
      <c r="D39" s="464">
        <v>30</v>
      </c>
    </row>
    <row r="40" spans="1:4" ht="13.5" x14ac:dyDescent="0.25">
      <c r="A40" s="470"/>
      <c r="B40" s="466"/>
      <c r="C40" s="466"/>
      <c r="D40" s="461"/>
    </row>
    <row r="41" spans="1:4" ht="13.5" x14ac:dyDescent="0.25">
      <c r="A41" s="462" t="s">
        <v>1146</v>
      </c>
      <c r="B41" s="467"/>
      <c r="C41" s="467"/>
      <c r="D41" s="461"/>
    </row>
    <row r="42" spans="1:4" ht="13.5" x14ac:dyDescent="0.25">
      <c r="A42" s="465" t="s">
        <v>1147</v>
      </c>
      <c r="B42" s="467">
        <v>1175</v>
      </c>
      <c r="C42" s="467">
        <v>1200</v>
      </c>
      <c r="D42" s="464">
        <v>25</v>
      </c>
    </row>
    <row r="43" spans="1:4" ht="13.5" x14ac:dyDescent="0.25">
      <c r="A43" s="470" t="s">
        <v>1148</v>
      </c>
      <c r="B43" s="813">
        <v>1785</v>
      </c>
      <c r="C43" s="813">
        <v>1825</v>
      </c>
      <c r="D43" s="814">
        <f>C43-B43</f>
        <v>40</v>
      </c>
    </row>
    <row r="44" spans="1:4" ht="13.5" x14ac:dyDescent="0.25">
      <c r="A44" s="470" t="s">
        <v>1149</v>
      </c>
      <c r="B44" s="813"/>
      <c r="C44" s="813"/>
      <c r="D44" s="815"/>
    </row>
    <row r="45" spans="1:4" ht="13.5" x14ac:dyDescent="0.25">
      <c r="A45" s="470" t="s">
        <v>1150</v>
      </c>
      <c r="B45" s="813"/>
      <c r="C45" s="813"/>
      <c r="D45" s="815"/>
    </row>
    <row r="46" spans="1:4" ht="13.5" x14ac:dyDescent="0.25">
      <c r="A46" s="470" t="s">
        <v>1151</v>
      </c>
      <c r="B46" s="813"/>
      <c r="C46" s="813"/>
      <c r="D46" s="815"/>
    </row>
    <row r="47" spans="1:4" ht="13.5" x14ac:dyDescent="0.25">
      <c r="A47" s="471"/>
      <c r="B47" s="466"/>
      <c r="C47" s="466"/>
      <c r="D47" s="461"/>
    </row>
    <row r="48" spans="1:4" ht="13.5" x14ac:dyDescent="0.25">
      <c r="A48" s="462" t="s">
        <v>1152</v>
      </c>
      <c r="B48" s="466"/>
      <c r="C48" s="466"/>
      <c r="D48" s="461"/>
    </row>
    <row r="49" spans="1:4" ht="13.5" x14ac:dyDescent="0.25">
      <c r="A49" s="468" t="s">
        <v>265</v>
      </c>
      <c r="B49" s="463">
        <v>145100</v>
      </c>
      <c r="C49" s="463">
        <v>152700</v>
      </c>
      <c r="D49" s="464">
        <f>C49-B49</f>
        <v>7600</v>
      </c>
    </row>
    <row r="50" spans="1:4" ht="13.5" x14ac:dyDescent="0.25">
      <c r="A50" s="468" t="s">
        <v>197</v>
      </c>
      <c r="B50" s="463">
        <v>145100</v>
      </c>
      <c r="C50" s="463">
        <v>152700</v>
      </c>
      <c r="D50" s="464">
        <f>C50-B50</f>
        <v>7600</v>
      </c>
    </row>
    <row r="51" spans="1:4" ht="13.5" x14ac:dyDescent="0.25">
      <c r="A51" s="468"/>
      <c r="B51" s="464"/>
      <c r="C51" s="464"/>
      <c r="D51" s="461"/>
    </row>
    <row r="52" spans="1:4" ht="13.5" x14ac:dyDescent="0.25">
      <c r="A52" s="468"/>
      <c r="B52" s="464"/>
      <c r="C52" s="464"/>
      <c r="D52" s="461"/>
    </row>
    <row r="53" spans="1:4" ht="13.5" x14ac:dyDescent="0.25">
      <c r="A53" s="468"/>
      <c r="B53" s="464"/>
      <c r="C53" s="464"/>
      <c r="D53" s="461"/>
    </row>
  </sheetData>
  <mergeCells count="3">
    <mergeCell ref="B43:B46"/>
    <mergeCell ref="C43:C46"/>
    <mergeCell ref="D43:D46"/>
  </mergeCells>
  <conditionalFormatting sqref="B11:C11">
    <cfRule type="expression" dxfId="4" priority="1" stopIfTrue="1">
      <formula>$A$23="N/A"</formula>
    </cfRule>
  </conditionalFormatting>
  <conditionalFormatting sqref="B21:C21">
    <cfRule type="expression" dxfId="3" priority="2" stopIfTrue="1">
      <formula>$A$24="N/A"</formula>
    </cfRule>
  </conditionalFormatting>
  <conditionalFormatting sqref="B33:C33">
    <cfRule type="expression" dxfId="2" priority="3" stopIfTrue="1">
      <formula>$A$45="N/A"</formula>
    </cfRule>
  </conditionalFormatting>
  <conditionalFormatting sqref="B34:C34">
    <cfRule type="expression" dxfId="1" priority="4" stopIfTrue="1">
      <formula>$A$46="N/A"</formula>
    </cfRule>
  </conditionalFormatting>
  <conditionalFormatting sqref="B42:C42">
    <cfRule type="expression" dxfId="0" priority="6" stopIfTrue="1">
      <formula>#REF!="N/A"</formula>
    </cfRule>
  </conditionalFormatting>
  <dataValidations count="7">
    <dataValidation type="list" allowBlank="1" showInputMessage="1" showErrorMessage="1" sqref="A34" xr:uid="{F8798B47-7A7A-491B-86D1-A1F9A494384C}">
      <formula1>"EAL 1 Secondary,EAL 2 Secondary,EAL 3 Secondary, N/A"</formula1>
    </dataValidation>
    <dataValidation type="list" allowBlank="1" showInputMessage="1" showErrorMessage="1" sqref="A33" xr:uid="{10EE8F56-F21F-46B9-A974-6741131A4037}">
      <formula1>"EAL 1 Primary,EAL 2 Primary,EAL 3 Primary, N/A"</formula1>
    </dataValidation>
    <dataValidation type="decimal" operator="greaterThanOrEqual" allowBlank="1" showInputMessage="1" showErrorMessage="1" errorTitle="Error" error="The minimum Primary AWPU is £2,000." sqref="B5:C6" xr:uid="{42579F0C-FA6A-491E-95AE-BCFCC0C76756}">
      <formula1>2000</formula1>
    </dataValidation>
    <dataValidation type="decimal" operator="greaterThanOrEqual" allowBlank="1" showInputMessage="1" showErrorMessage="1" errorTitle="Error" error="The minimum secondary APWU is £3,000." sqref="B7:C8" xr:uid="{96C12F3D-6076-411A-8BBE-CF3D9260B9DB}">
      <formula1>3000</formula1>
    </dataValidation>
    <dataValidation allowBlank="1" showInputMessage="1" sqref="A42 A30" xr:uid="{BAC4D354-D81D-422A-A48D-5C3636C1EF2F}"/>
    <dataValidation type="decimal" operator="greaterThanOrEqual" allowBlank="1" showInputMessage="1" showErrorMessage="1" errorTitle="Error" error="This figure cannot be negative. Please enter a positive unit value." sqref="B33:C34 B37:C40 B42:C43 B11:C28 B30:C31" xr:uid="{4407002D-959D-4BA9-A949-30FB501342F1}">
      <formula1>0</formula1>
    </dataValidation>
    <dataValidation type="decimal" allowBlank="1" showInputMessage="1" showErrorMessage="1" errorTitle="Error" error="This figure must be a postive amount no greater than £175,000. Please provide a valid lump sum." sqref="B49:C50" xr:uid="{13359903-2F00-4990-8906-6894778B3B6E}">
      <formula1>0</formula1>
      <formula2>175000</formula2>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5" id="{99B1751F-56B9-4D9A-A216-A8F5707A31DD}">
            <x14:iconSet custom="1">
              <x14:cfvo type="percent">
                <xm:f>0</xm:f>
              </x14:cfvo>
              <x14:cfvo type="num">
                <xm:f>0</xm:f>
              </x14:cfvo>
              <x14:cfvo type="num" gte="0">
                <xm:f>0</xm:f>
              </x14:cfvo>
              <x14:cfIcon iconSet="3Arrows" iconId="0"/>
              <x14:cfIcon iconSet="3Triangles" iconId="1"/>
              <x14:cfIcon iconSet="3Arrows" iconId="2"/>
            </x14:iconSet>
          </x14:cfRule>
          <xm:sqref>D1:D50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U132"/>
  <sheetViews>
    <sheetView zoomScale="60" zoomScaleNormal="60" workbookViewId="0">
      <selection activeCell="O20" sqref="O20"/>
    </sheetView>
  </sheetViews>
  <sheetFormatPr defaultColWidth="9.1796875" defaultRowHeight="12.5" x14ac:dyDescent="0.25"/>
  <cols>
    <col min="1" max="1" width="8.54296875" style="50" customWidth="1"/>
    <col min="2" max="2" width="59.81640625" style="50" customWidth="1"/>
    <col min="3" max="3" width="35.81640625" style="50" customWidth="1"/>
    <col min="4" max="7" width="16.81640625" style="50" customWidth="1"/>
    <col min="8" max="10" width="20.81640625" style="51" customWidth="1"/>
    <col min="11" max="11" width="5.453125" style="50" customWidth="1"/>
    <col min="12" max="12" width="11" style="50" customWidth="1"/>
    <col min="13" max="13" width="8.54296875" style="50" customWidth="1"/>
    <col min="14" max="14" width="7" style="50" customWidth="1"/>
    <col min="15" max="15" width="4.81640625" style="50" customWidth="1"/>
    <col min="16" max="16" width="19" style="319" customWidth="1"/>
    <col min="17" max="17" width="14.1796875" style="319" customWidth="1"/>
    <col min="18" max="18" width="14" style="50" customWidth="1"/>
    <col min="19" max="19" width="15.81640625" style="50" customWidth="1"/>
    <col min="20" max="20" width="11" style="50" customWidth="1"/>
    <col min="21" max="21" width="12.81640625" style="50" customWidth="1"/>
    <col min="22" max="22" width="12.1796875" style="50" customWidth="1"/>
    <col min="23" max="57" width="9.1796875" style="50" customWidth="1"/>
    <col min="58" max="58" width="9.453125" style="50" customWidth="1"/>
    <col min="59" max="16384" width="9.1796875" style="50"/>
  </cols>
  <sheetData>
    <row r="1" spans="2:11" ht="13" thickBot="1" x14ac:dyDescent="0.3"/>
    <row r="2" spans="2:11" ht="13.25" customHeight="1" x14ac:dyDescent="0.25">
      <c r="B2" s="726" t="s">
        <v>152</v>
      </c>
      <c r="C2" s="45"/>
      <c r="H2" s="50"/>
      <c r="I2" s="50"/>
      <c r="J2" s="50"/>
    </row>
    <row r="3" spans="2:11" x14ac:dyDescent="0.25">
      <c r="B3" s="727"/>
      <c r="H3" s="50"/>
      <c r="I3" s="50"/>
      <c r="J3" s="50"/>
    </row>
    <row r="4" spans="2:11" ht="13" thickBot="1" x14ac:dyDescent="0.3">
      <c r="B4" s="728"/>
      <c r="F4" s="51"/>
      <c r="G4" s="51"/>
    </row>
    <row r="5" spans="2:11" x14ac:dyDescent="0.25">
      <c r="B5" s="239"/>
      <c r="F5" s="51"/>
      <c r="G5" s="51"/>
    </row>
    <row r="6" spans="2:11" ht="13" thickBot="1" x14ac:dyDescent="0.3"/>
    <row r="7" spans="2:11" ht="33.75" customHeight="1" thickBot="1" x14ac:dyDescent="0.3">
      <c r="B7" s="238" t="s">
        <v>1351</v>
      </c>
      <c r="C7" s="323"/>
      <c r="D7" s="237"/>
    </row>
    <row r="8" spans="2:11" ht="33.75" customHeight="1" thickBot="1" x14ac:dyDescent="0.3">
      <c r="B8" s="237"/>
      <c r="C8" s="237"/>
      <c r="D8" s="237"/>
    </row>
    <row r="9" spans="2:11" ht="30.75" customHeight="1" x14ac:dyDescent="0.25">
      <c r="B9" s="729" t="s">
        <v>177</v>
      </c>
      <c r="C9" s="730"/>
      <c r="D9" s="731"/>
      <c r="E9" s="52"/>
      <c r="F9" s="735" t="s">
        <v>1121</v>
      </c>
      <c r="G9" s="760" t="str">
        <f>IFERROR('Schools Summary'!F12,0)</f>
        <v>XXX</v>
      </c>
      <c r="H9" s="79"/>
      <c r="I9" s="79"/>
      <c r="J9" s="80"/>
      <c r="K9" s="61"/>
    </row>
    <row r="10" spans="2:11" ht="33" customHeight="1" thickBot="1" x14ac:dyDescent="0.3">
      <c r="B10" s="732"/>
      <c r="C10" s="733"/>
      <c r="D10" s="734"/>
      <c r="F10" s="736"/>
      <c r="G10" s="761"/>
      <c r="H10" s="68"/>
      <c r="I10" s="76"/>
      <c r="J10" s="236"/>
      <c r="K10" s="61"/>
    </row>
    <row r="11" spans="2:11" ht="40" customHeight="1" thickBot="1" x14ac:dyDescent="0.3">
      <c r="B11" s="737" t="str">
        <f>IFERROR(IF('Schools Summary'!F12=12345,"",'Schools Summary'!B12),0)</f>
        <v>All Providers</v>
      </c>
      <c r="C11" s="738"/>
      <c r="D11" s="739"/>
      <c r="E11" s="77"/>
      <c r="G11" s="227"/>
      <c r="H11" s="68"/>
      <c r="I11" s="76"/>
      <c r="J11" s="236"/>
      <c r="K11" s="61"/>
    </row>
    <row r="12" spans="2:11" ht="15.75" customHeight="1" x14ac:dyDescent="0.25">
      <c r="B12" s="54"/>
      <c r="J12" s="292"/>
      <c r="K12" s="55"/>
    </row>
    <row r="13" spans="2:11" ht="15.75" customHeight="1" x14ac:dyDescent="0.25">
      <c r="B13" s="54"/>
      <c r="J13" s="292"/>
    </row>
    <row r="14" spans="2:11" ht="15.75" customHeight="1" x14ac:dyDescent="0.25">
      <c r="B14" s="54"/>
      <c r="J14" s="292"/>
    </row>
    <row r="15" spans="2:11" ht="13.5" thickBot="1" x14ac:dyDescent="0.3">
      <c r="B15" s="81"/>
      <c r="J15" s="292"/>
    </row>
    <row r="16" spans="2:11" ht="13" x14ac:dyDescent="0.25">
      <c r="B16" s="82"/>
      <c r="C16" s="83"/>
      <c r="D16" s="83"/>
      <c r="E16" s="83"/>
      <c r="F16" s="83"/>
      <c r="G16" s="83"/>
      <c r="H16" s="84"/>
      <c r="I16" s="84"/>
      <c r="J16" s="247"/>
    </row>
    <row r="17" spans="2:21" s="49" customFormat="1" ht="54.75" customHeight="1" x14ac:dyDescent="0.25">
      <c r="B17" s="85" t="s">
        <v>181</v>
      </c>
      <c r="C17" s="298" t="s">
        <v>182</v>
      </c>
      <c r="D17" s="152" t="s">
        <v>183</v>
      </c>
      <c r="E17" s="152" t="s">
        <v>184</v>
      </c>
      <c r="F17" s="152" t="s">
        <v>185</v>
      </c>
      <c r="G17" s="299" t="s">
        <v>186</v>
      </c>
      <c r="H17" s="300" t="s">
        <v>187</v>
      </c>
      <c r="I17" s="153" t="s">
        <v>188</v>
      </c>
      <c r="J17" s="301" t="s">
        <v>189</v>
      </c>
      <c r="P17" s="320" t="s">
        <v>1123</v>
      </c>
      <c r="Q17" s="674" t="s">
        <v>194</v>
      </c>
    </row>
    <row r="18" spans="2:21" ht="27" customHeight="1" x14ac:dyDescent="0.25">
      <c r="B18" s="754" t="s">
        <v>190</v>
      </c>
      <c r="C18" s="302" t="s">
        <v>191</v>
      </c>
      <c r="D18" s="154">
        <f>'Factor Values'!C5</f>
        <v>4064</v>
      </c>
      <c r="E18" s="155"/>
      <c r="F18" s="155"/>
      <c r="G18" s="156">
        <f>IFERROR(VLOOKUP($G$9,'Adjusted Factors'!A:BK,14,FALSE),0)</f>
        <v>22996.75</v>
      </c>
      <c r="H18" s="303">
        <f>G18*D18</f>
        <v>93458792</v>
      </c>
      <c r="I18" s="157">
        <v>0.12</v>
      </c>
      <c r="J18" s="158">
        <f>D18*G18*I18</f>
        <v>11215055.039999999</v>
      </c>
      <c r="P18" s="322">
        <f>VLOOKUP($G$9,'ISB new'!$A:$BX,7,FALSE)</f>
        <v>93458792</v>
      </c>
      <c r="Q18" s="322">
        <f>+P18-H18</f>
        <v>0</v>
      </c>
    </row>
    <row r="19" spans="2:21" ht="27" customHeight="1" x14ac:dyDescent="0.25">
      <c r="B19" s="755"/>
      <c r="C19" s="302" t="s">
        <v>192</v>
      </c>
      <c r="D19" s="155"/>
      <c r="E19" s="159">
        <f>'Factor Values'!C6</f>
        <v>5686</v>
      </c>
      <c r="F19" s="155"/>
      <c r="G19" s="156">
        <f>IFERROR(VLOOKUP($G$9,'Adjusted Factors'!A:BK,18,FALSE),0)</f>
        <v>10659.916666666666</v>
      </c>
      <c r="H19" s="303">
        <f>G19*E19</f>
        <v>60612286.166666664</v>
      </c>
      <c r="I19" s="157">
        <v>9.7000000000000003E-2</v>
      </c>
      <c r="J19" s="158">
        <f>E19*G19*I19</f>
        <v>5879391.7581666661</v>
      </c>
      <c r="P19" s="322">
        <f>VLOOKUP($G$9,'ISB new'!$A:$BX,8,FALSE)</f>
        <v>60612286.166666664</v>
      </c>
      <c r="Q19" s="322">
        <f t="shared" ref="Q19:Q20" si="0">+P19-H19</f>
        <v>0</v>
      </c>
    </row>
    <row r="20" spans="2:21" ht="27" customHeight="1" x14ac:dyDescent="0.25">
      <c r="B20" s="756"/>
      <c r="C20" s="302" t="s">
        <v>193</v>
      </c>
      <c r="D20" s="155"/>
      <c r="E20" s="155"/>
      <c r="F20" s="159">
        <f>'Factor Values'!C7</f>
        <v>6410</v>
      </c>
      <c r="G20" s="156">
        <f>IFERROR(VLOOKUP($G$9,'Adjusted Factors'!$A:$BK,19,FALSE),0)</f>
        <v>6971.5833333333339</v>
      </c>
      <c r="H20" s="303">
        <f>G20*F20</f>
        <v>44687849.166666672</v>
      </c>
      <c r="I20" s="157">
        <v>8.6300000000000002E-2</v>
      </c>
      <c r="J20" s="158">
        <f>F20*G20*I20</f>
        <v>3856561.3830833337</v>
      </c>
      <c r="P20" s="322">
        <f>VLOOKUP($G$9,'ISB new'!$A:$BX,9,FALSE)</f>
        <v>44687849.166666672</v>
      </c>
      <c r="Q20" s="322">
        <f t="shared" si="0"/>
        <v>0</v>
      </c>
    </row>
    <row r="21" spans="2:21" ht="20.149999999999999" customHeight="1" x14ac:dyDescent="0.25">
      <c r="B21" s="86"/>
      <c r="C21" s="304"/>
      <c r="D21" s="305"/>
      <c r="E21" s="305"/>
      <c r="F21" s="306" t="s">
        <v>195</v>
      </c>
      <c r="G21" s="173">
        <f>SUM(G18:G20)</f>
        <v>40628.25</v>
      </c>
      <c r="H21" s="171">
        <f>SUM(H18:H20)</f>
        <v>198758927.33333331</v>
      </c>
      <c r="I21" s="172"/>
      <c r="J21" s="307">
        <f>SUM(J18:J20)</f>
        <v>20951008.181249999</v>
      </c>
      <c r="M21" s="51"/>
      <c r="N21" s="51"/>
      <c r="O21" s="51"/>
      <c r="P21" s="322"/>
      <c r="Q21" s="322"/>
    </row>
    <row r="22" spans="2:21" ht="12.75" customHeight="1" x14ac:dyDescent="0.25">
      <c r="B22" s="765"/>
      <c r="C22" s="766"/>
      <c r="D22" s="766"/>
      <c r="E22" s="766"/>
      <c r="F22" s="766"/>
      <c r="G22" s="766"/>
      <c r="H22" s="767"/>
      <c r="I22" s="87"/>
      <c r="J22" s="88"/>
      <c r="P22" s="322"/>
      <c r="Q22" s="322"/>
    </row>
    <row r="23" spans="2:21" ht="36" customHeight="1" x14ac:dyDescent="0.25">
      <c r="B23" s="89" t="s">
        <v>196</v>
      </c>
      <c r="C23" s="90" t="s">
        <v>191</v>
      </c>
      <c r="D23" s="160">
        <f>-'De-del'!Q8</f>
        <v>-88.050000000000011</v>
      </c>
      <c r="E23" s="155"/>
      <c r="F23" s="155"/>
      <c r="G23" s="161">
        <f>IFERROR(F73,0)</f>
        <v>6895</v>
      </c>
      <c r="H23" s="162">
        <f>G23*D23</f>
        <v>-607104.75000000012</v>
      </c>
      <c r="I23" s="148"/>
      <c r="J23" s="147"/>
      <c r="P23" s="322"/>
      <c r="Q23" s="322"/>
    </row>
    <row r="24" spans="2:21" ht="36" customHeight="1" x14ac:dyDescent="0.25">
      <c r="B24" s="91"/>
      <c r="C24" s="92" t="s">
        <v>197</v>
      </c>
      <c r="D24" s="163"/>
      <c r="E24" s="164">
        <f>-'De-del'!R9</f>
        <v>-76.87</v>
      </c>
      <c r="F24" s="164">
        <f>E24</f>
        <v>-76.87</v>
      </c>
      <c r="G24" s="165">
        <f>IFERROR(G73,0)</f>
        <v>3775.5</v>
      </c>
      <c r="H24" s="166">
        <f>G24*F24</f>
        <v>-290222.685</v>
      </c>
      <c r="I24" s="148"/>
      <c r="J24" s="147"/>
      <c r="P24" s="322"/>
      <c r="Q24" s="322"/>
    </row>
    <row r="25" spans="2:21" ht="20.149999999999999" customHeight="1" x14ac:dyDescent="0.25">
      <c r="B25" s="93"/>
      <c r="C25" s="94"/>
      <c r="D25" s="167"/>
      <c r="E25" s="167"/>
      <c r="F25" s="168" t="s">
        <v>195</v>
      </c>
      <c r="G25" s="169">
        <f>SUM(G23:G24)</f>
        <v>10670.5</v>
      </c>
      <c r="H25" s="170">
        <f>SUM(H23:H24)</f>
        <v>-897327.43500000006</v>
      </c>
      <c r="I25" s="95"/>
      <c r="J25" s="96"/>
      <c r="P25" s="322">
        <f>VLOOKUP($G$9,'ISB new'!$A:$BX,71,FALSE)</f>
        <v>-897327.43499999982</v>
      </c>
      <c r="Q25" s="322">
        <f>P25-H25</f>
        <v>0</v>
      </c>
    </row>
    <row r="26" spans="2:21" ht="52.5" customHeight="1" x14ac:dyDescent="0.25">
      <c r="B26" s="78"/>
      <c r="C26" s="298"/>
      <c r="D26" s="308" t="s">
        <v>183</v>
      </c>
      <c r="E26" s="308" t="s">
        <v>198</v>
      </c>
      <c r="F26" s="308" t="s">
        <v>199</v>
      </c>
      <c r="G26" s="299" t="s">
        <v>200</v>
      </c>
      <c r="H26" s="174" t="s">
        <v>187</v>
      </c>
      <c r="I26" s="309" t="s">
        <v>188</v>
      </c>
      <c r="J26" s="301" t="s">
        <v>189</v>
      </c>
      <c r="P26" s="322"/>
      <c r="Q26" s="322"/>
    </row>
    <row r="27" spans="2:21" ht="20.25" customHeight="1" x14ac:dyDescent="0.25">
      <c r="B27" s="768" t="s">
        <v>201</v>
      </c>
      <c r="C27" s="4"/>
      <c r="D27" s="175"/>
      <c r="E27" s="175"/>
      <c r="F27" s="176"/>
      <c r="G27" s="176"/>
      <c r="H27" s="177"/>
      <c r="I27" s="229"/>
      <c r="J27" s="230"/>
      <c r="P27" s="322"/>
      <c r="Q27" s="322"/>
    </row>
    <row r="28" spans="2:21" ht="27" customHeight="1" x14ac:dyDescent="0.25">
      <c r="B28" s="769"/>
      <c r="C28" s="4" t="s">
        <v>202</v>
      </c>
      <c r="D28" s="159">
        <f>'Factor Values'!C11</f>
        <v>505</v>
      </c>
      <c r="E28" s="159">
        <f>'Factor Values'!C20</f>
        <v>505</v>
      </c>
      <c r="F28" s="156">
        <f>IFERROR(VLOOKUP($G$9,'Adjusted Factors'!$A:$BK,26,FALSE),0)</f>
        <v>8621.7492659395921</v>
      </c>
      <c r="G28" s="156">
        <f>IFERROR(VLOOKUP($G$9,'Adjusted Factors'!$A:$BK,28,FALSE),0)</f>
        <v>6617.7341176470509</v>
      </c>
      <c r="H28" s="178">
        <f>$D28*$F28+($E28*$G28)</f>
        <v>7695939.1087112557</v>
      </c>
      <c r="I28" s="157">
        <v>0.35249999999999998</v>
      </c>
      <c r="J28" s="158">
        <f t="shared" ref="J28:J34" si="1">I28*H28</f>
        <v>2712818.5358207175</v>
      </c>
      <c r="M28" s="51"/>
      <c r="N28" s="51"/>
      <c r="O28" s="51"/>
      <c r="P28" s="322">
        <f>VLOOKUP($G$9,'ISB new'!$A:$BX,10,FALSE)+VLOOKUP($G$9,'ISB new'!$A:$BX,11,FALSE)</f>
        <v>7695939.1087112557</v>
      </c>
      <c r="Q28" s="322">
        <f t="shared" ref="Q28" si="2">+P28-H28</f>
        <v>0</v>
      </c>
      <c r="S28" s="51"/>
      <c r="U28" s="51"/>
    </row>
    <row r="29" spans="2:21" ht="27" customHeight="1" x14ac:dyDescent="0.25">
      <c r="B29" s="769"/>
      <c r="C29" s="4" t="s">
        <v>203</v>
      </c>
      <c r="D29" s="159">
        <f>'Factor Values'!C12</f>
        <v>1210</v>
      </c>
      <c r="E29" s="159">
        <f>'Factor Values'!C21</f>
        <v>1725</v>
      </c>
      <c r="F29" s="156">
        <f>IFERROR(VLOOKUP($G$9,'Adjusted Factors'!$A:$BK,27,FALSE),0)</f>
        <v>8767.7492659395921</v>
      </c>
      <c r="G29" s="156">
        <f>IFERROR(VLOOKUP($G$9,'Adjusted Factors'!$A:$BK,29,FALSE),0)</f>
        <v>7178.3152941176395</v>
      </c>
      <c r="H29" s="178">
        <f>$D29*$F29+($E29*$G29)</f>
        <v>22991570.494139835</v>
      </c>
      <c r="I29" s="157">
        <v>0.35249999999999998</v>
      </c>
      <c r="J29" s="158">
        <f t="shared" ref="J29" si="3">I29*H29</f>
        <v>8104528.5991842914</v>
      </c>
      <c r="M29" s="51"/>
      <c r="N29" s="51"/>
      <c r="O29" s="51"/>
      <c r="P29" s="322">
        <f>VLOOKUP($G$9,'ISB new'!$A:$BX,12,FALSE)+VLOOKUP($G$9,'ISB new'!$A:$BX,13,FALSE)</f>
        <v>22991570.494139835</v>
      </c>
      <c r="Q29" s="322">
        <f>P29-H29</f>
        <v>0</v>
      </c>
      <c r="S29" s="51"/>
      <c r="U29" s="51"/>
    </row>
    <row r="30" spans="2:21" ht="27" customHeight="1" x14ac:dyDescent="0.25">
      <c r="B30" s="769"/>
      <c r="C30" s="5" t="s">
        <v>204</v>
      </c>
      <c r="D30" s="159">
        <f>'Factor Values'!C13</f>
        <v>240</v>
      </c>
      <c r="E30" s="159">
        <f>'Factor Values'!C22</f>
        <v>345</v>
      </c>
      <c r="F30" s="156">
        <f>IFERROR(VLOOKUP($G$9,'Adjusted Factors'!$A:$BK,31,FALSE),0)</f>
        <v>2658.3546026896838</v>
      </c>
      <c r="G30" s="156">
        <f>IFERROR(VLOOKUP($G$9,'Adjusted Factors'!$A:$BK,38,FALSE),0)</f>
        <v>1989.8810212367157</v>
      </c>
      <c r="H30" s="178">
        <f t="shared" ref="H30:H35" si="4">$D30*$F30+($E30*$G30)</f>
        <v>1324514.0569721912</v>
      </c>
      <c r="I30" s="157">
        <v>0.35249999999999998</v>
      </c>
      <c r="J30" s="158">
        <f t="shared" si="1"/>
        <v>466891.20508269739</v>
      </c>
      <c r="M30" s="51"/>
      <c r="N30" s="51"/>
      <c r="O30" s="51"/>
      <c r="P30" s="322">
        <f>VLOOKUP($G$9,'ISB new'!$A:$BX,14,FALSE)+VLOOKUP($G$9,'ISB new'!$A:$BX,20,FALSE)</f>
        <v>1324514.0569721912</v>
      </c>
      <c r="Q30" s="322">
        <f t="shared" ref="Q30:Q35" si="5">P30-H30</f>
        <v>0</v>
      </c>
      <c r="S30" s="51"/>
      <c r="U30" s="51"/>
    </row>
    <row r="31" spans="2:21" ht="27" customHeight="1" x14ac:dyDescent="0.25">
      <c r="B31" s="769"/>
      <c r="C31" s="5" t="s">
        <v>205</v>
      </c>
      <c r="D31" s="159">
        <f>'Factor Values'!C14</f>
        <v>290</v>
      </c>
      <c r="E31" s="159">
        <f>'Factor Values'!C23</f>
        <v>460</v>
      </c>
      <c r="F31" s="156">
        <f>IFERROR(VLOOKUP($G$9,'Adjusted Factors'!$A:$BK,32,FALSE),0)</f>
        <v>3287.5180623377314</v>
      </c>
      <c r="G31" s="156">
        <f>IFERROR(VLOOKUP($G$9,'Adjusted Factors'!$A:$BK,39,FALSE),0)</f>
        <v>2128.8052093104284</v>
      </c>
      <c r="H31" s="178">
        <f t="shared" si="4"/>
        <v>1932630.6343607393</v>
      </c>
      <c r="I31" s="157">
        <v>0.35249999999999998</v>
      </c>
      <c r="J31" s="158">
        <f t="shared" si="1"/>
        <v>681252.29861216061</v>
      </c>
      <c r="M31" s="51"/>
      <c r="N31" s="51"/>
      <c r="O31" s="51"/>
      <c r="P31" s="322">
        <f>VLOOKUP($G$9,'ISB new'!$A:$BX,15,FALSE)+VLOOKUP($G$9,'ISB new'!$A:$BX,21,FALSE)</f>
        <v>1932630.6343607393</v>
      </c>
      <c r="Q31" s="322">
        <f t="shared" si="5"/>
        <v>0</v>
      </c>
      <c r="S31" s="51"/>
      <c r="U31" s="51"/>
    </row>
    <row r="32" spans="2:21" ht="27" customHeight="1" x14ac:dyDescent="0.25">
      <c r="B32" s="769"/>
      <c r="C32" s="5" t="s">
        <v>206</v>
      </c>
      <c r="D32" s="159">
        <f>'Factor Values'!C15</f>
        <v>455</v>
      </c>
      <c r="E32" s="159">
        <f>'Factor Values'!C24</f>
        <v>650</v>
      </c>
      <c r="F32" s="156">
        <f>IFERROR(VLOOKUP($G$9,'Adjusted Factors'!$A:$BK,33,FALSE),0)</f>
        <v>1918.6931997594013</v>
      </c>
      <c r="G32" s="156">
        <f>IFERROR(VLOOKUP($G$9,'Adjusted Factors'!$A:$BK,40,FALSE),0)</f>
        <v>1362.7502868868237</v>
      </c>
      <c r="H32" s="178">
        <f t="shared" si="4"/>
        <v>1758793.0923669632</v>
      </c>
      <c r="I32" s="157">
        <v>0.35249999999999998</v>
      </c>
      <c r="J32" s="158">
        <f t="shared" si="1"/>
        <v>619974.56505935453</v>
      </c>
      <c r="M32" s="51"/>
      <c r="N32" s="51"/>
      <c r="O32" s="51"/>
      <c r="P32" s="322">
        <f>VLOOKUP($G$9,'ISB new'!$A:$BX,16,FALSE)+VLOOKUP($G$9,'ISB new'!$A:$BX,22,FALSE)</f>
        <v>1758793.0923669632</v>
      </c>
      <c r="Q32" s="322">
        <f t="shared" si="5"/>
        <v>0</v>
      </c>
      <c r="S32" s="51"/>
      <c r="U32" s="51"/>
    </row>
    <row r="33" spans="2:21" ht="27" customHeight="1" x14ac:dyDescent="0.25">
      <c r="B33" s="769"/>
      <c r="C33" s="5" t="s">
        <v>207</v>
      </c>
      <c r="D33" s="159">
        <f>'Factor Values'!C16</f>
        <v>500</v>
      </c>
      <c r="E33" s="159">
        <f>'Factor Values'!C25</f>
        <v>710</v>
      </c>
      <c r="F33" s="156">
        <f>IFERROR(VLOOKUP($G$9,'Adjusted Factors'!$A:$BK,34,FALSE),0)</f>
        <v>2304.9042543859473</v>
      </c>
      <c r="G33" s="156">
        <f>IFERROR(VLOOKUP($G$9,'Adjusted Factors'!$A:$BK,41,FALSE),0)</f>
        <v>1626.6666670356542</v>
      </c>
      <c r="H33" s="178">
        <f t="shared" si="4"/>
        <v>2307385.4607882882</v>
      </c>
      <c r="I33" s="157">
        <v>0.35249999999999998</v>
      </c>
      <c r="J33" s="158">
        <f t="shared" si="1"/>
        <v>813353.37492787151</v>
      </c>
      <c r="M33" s="51"/>
      <c r="N33" s="51"/>
      <c r="O33" s="51"/>
      <c r="P33" s="322">
        <f>VLOOKUP($G$9,'ISB new'!$A:$BX,17,FALSE)+VLOOKUP($G$9,'ISB new'!$A:$BX,23,FALSE)</f>
        <v>2307385.4607882882</v>
      </c>
      <c r="Q33" s="322">
        <f t="shared" si="5"/>
        <v>0</v>
      </c>
      <c r="S33" s="51"/>
      <c r="U33" s="51"/>
    </row>
    <row r="34" spans="2:21" ht="27" customHeight="1" x14ac:dyDescent="0.25">
      <c r="B34" s="769"/>
      <c r="C34" s="5" t="s">
        <v>208</v>
      </c>
      <c r="D34" s="159">
        <f>'Factor Values'!C17</f>
        <v>530</v>
      </c>
      <c r="E34" s="159">
        <f>'Factor Values'!C26</f>
        <v>760</v>
      </c>
      <c r="F34" s="156">
        <f>IFERROR(VLOOKUP($G$9,'Adjusted Factors'!$A:$BK,35,FALSE),0)</f>
        <v>1931.3375181201025</v>
      </c>
      <c r="G34" s="156">
        <f>IFERROR(VLOOKUP($G$9,'Adjusted Factors'!$A:$BK,42,FALSE),0)</f>
        <v>1455.3973219886748</v>
      </c>
      <c r="H34" s="178">
        <f t="shared" si="4"/>
        <v>2129710.8493150473</v>
      </c>
      <c r="I34" s="157">
        <v>0.35249999999999998</v>
      </c>
      <c r="J34" s="158">
        <f t="shared" si="1"/>
        <v>750723.07438355417</v>
      </c>
      <c r="M34" s="51"/>
      <c r="N34" s="51"/>
      <c r="O34" s="51"/>
      <c r="P34" s="322">
        <f>VLOOKUP($G$9,'ISB new'!$A:$BX,18,FALSE)+VLOOKUP($G$9,'ISB new'!$A:$BX,24,FALSE)</f>
        <v>2129710.8493150473</v>
      </c>
      <c r="Q34" s="322">
        <f t="shared" si="5"/>
        <v>0</v>
      </c>
      <c r="S34" s="51"/>
      <c r="U34" s="51"/>
    </row>
    <row r="35" spans="2:21" ht="27" customHeight="1" x14ac:dyDescent="0.25">
      <c r="B35" s="770"/>
      <c r="C35" s="5" t="s">
        <v>209</v>
      </c>
      <c r="D35" s="159">
        <f>'Factor Values'!C18</f>
        <v>700</v>
      </c>
      <c r="E35" s="159">
        <f>'Factor Values'!C27</f>
        <v>970</v>
      </c>
      <c r="F35" s="156">
        <f>IFERROR(VLOOKUP($G$9,'Adjusted Factors'!$A:$BK,36,FALSE),0)</f>
        <v>1413.3401323691137</v>
      </c>
      <c r="G35" s="156">
        <f>IFERROR(VLOOKUP($G$9,'Adjusted Factors'!$A:$BK,43,FALSE),0)</f>
        <v>1062.9966229937904</v>
      </c>
      <c r="H35" s="178">
        <f t="shared" si="4"/>
        <v>2020444.8169623562</v>
      </c>
      <c r="I35" s="157">
        <v>0.35249999999999998</v>
      </c>
      <c r="J35" s="158">
        <f>I35*H35</f>
        <v>712206.79797923053</v>
      </c>
      <c r="M35" s="51"/>
      <c r="N35" s="51"/>
      <c r="O35" s="51"/>
      <c r="P35" s="322">
        <f>VLOOKUP($G$9,'ISB new'!$A:$BX,19,FALSE)+VLOOKUP($G$9,'ISB new'!$A:$BX,25,FALSE)</f>
        <v>2020444.816962356</v>
      </c>
      <c r="Q35" s="322">
        <f t="shared" si="5"/>
        <v>0</v>
      </c>
      <c r="S35" s="51"/>
      <c r="U35" s="51"/>
    </row>
    <row r="36" spans="2:21" ht="20.149999999999999" customHeight="1" x14ac:dyDescent="0.25">
      <c r="B36" s="97"/>
      <c r="C36" s="98"/>
      <c r="D36" s="179"/>
      <c r="E36" s="180" t="s">
        <v>195</v>
      </c>
      <c r="F36" s="181">
        <f>SUM(F27:F35)</f>
        <v>30903.646301541161</v>
      </c>
      <c r="G36" s="182">
        <f>SUM(G27:G35)</f>
        <v>23422.546541216776</v>
      </c>
      <c r="H36" s="170">
        <f>SUM(H27:H35)</f>
        <v>42160988.513616674</v>
      </c>
      <c r="I36" s="172"/>
      <c r="J36" s="307">
        <f>SUM(J28:J35)</f>
        <v>14861748.451049877</v>
      </c>
      <c r="P36" s="322">
        <f>SUM(P28:P35)</f>
        <v>42160988.513616674</v>
      </c>
      <c r="Q36" s="322">
        <f>SUM(Q28:Q35)</f>
        <v>0</v>
      </c>
      <c r="S36" s="51"/>
    </row>
    <row r="37" spans="2:21" ht="33" customHeight="1" x14ac:dyDescent="0.25">
      <c r="B37" s="72"/>
      <c r="C37" s="73"/>
      <c r="D37" s="753" t="s">
        <v>210</v>
      </c>
      <c r="E37" s="753"/>
      <c r="F37" s="753"/>
      <c r="G37" s="183" t="s">
        <v>211</v>
      </c>
      <c r="H37" s="184" t="s">
        <v>179</v>
      </c>
      <c r="I37" s="185"/>
      <c r="J37" s="185" t="s">
        <v>179</v>
      </c>
      <c r="P37" s="322"/>
      <c r="Q37" s="322"/>
    </row>
    <row r="38" spans="2:21" ht="44.25" customHeight="1" x14ac:dyDescent="0.25">
      <c r="B38" s="754" t="s">
        <v>212</v>
      </c>
      <c r="C38" s="146" t="s">
        <v>213</v>
      </c>
      <c r="D38" s="764">
        <f>'Factor Values'!C42</f>
        <v>1200</v>
      </c>
      <c r="E38" s="764"/>
      <c r="F38" s="764"/>
      <c r="G38" s="156">
        <f>IFERROR(VLOOKUP($G$9,'Adjusted Factors'!$A:$BK,46,FALSE),0)</f>
        <v>8163.9507529949169</v>
      </c>
      <c r="H38" s="178">
        <f>$G38*$D38</f>
        <v>9796740.9035938997</v>
      </c>
      <c r="I38" s="157">
        <v>0.35249999999999998</v>
      </c>
      <c r="J38" s="162">
        <f>I38*H38</f>
        <v>3453351.1685168496</v>
      </c>
      <c r="P38" s="322">
        <f>VLOOKUP($G$9,'ISB new'!$A:$BX,28,FALSE)</f>
        <v>9796740.9035939053</v>
      </c>
      <c r="Q38" s="322">
        <f>P38-H38</f>
        <v>0</v>
      </c>
    </row>
    <row r="39" spans="2:21" ht="50.25" customHeight="1" x14ac:dyDescent="0.25">
      <c r="B39" s="756"/>
      <c r="C39" s="146" t="s">
        <v>214</v>
      </c>
      <c r="D39" s="764">
        <f>'Factor Values'!C43</f>
        <v>1825</v>
      </c>
      <c r="E39" s="764"/>
      <c r="F39" s="764"/>
      <c r="G39" s="156">
        <f>IFERROR(VLOOKUP($G$9,'Adjusted Factors'!$A:$BK,52,FALSE),0)</f>
        <v>4337.5418265845874</v>
      </c>
      <c r="H39" s="178">
        <f>$G39*$D39</f>
        <v>7916013.8335168716</v>
      </c>
      <c r="I39" s="157">
        <v>0.35249999999999998</v>
      </c>
      <c r="J39" s="162">
        <f>I39*H39</f>
        <v>2790394.8763146969</v>
      </c>
      <c r="P39" s="322">
        <f>VLOOKUP($G$9,'ISB new'!$A:$BX,29,FALSE)</f>
        <v>7916013.8335168725</v>
      </c>
      <c r="Q39" s="322">
        <f>P39-H39</f>
        <v>0</v>
      </c>
    </row>
    <row r="40" spans="2:21" ht="27" customHeight="1" x14ac:dyDescent="0.25">
      <c r="B40" s="17"/>
      <c r="C40" s="144"/>
      <c r="D40" s="771" t="s">
        <v>210</v>
      </c>
      <c r="E40" s="771"/>
      <c r="F40" s="771"/>
      <c r="G40" s="186" t="s">
        <v>211</v>
      </c>
      <c r="H40" s="184" t="s">
        <v>179</v>
      </c>
      <c r="I40" s="185"/>
      <c r="J40" s="185" t="s">
        <v>179</v>
      </c>
      <c r="P40" s="322"/>
      <c r="Q40" s="322"/>
    </row>
    <row r="41" spans="2:21" ht="46.5" customHeight="1" x14ac:dyDescent="0.25">
      <c r="B41" s="754" t="s">
        <v>215</v>
      </c>
      <c r="C41" s="145" t="s">
        <v>216</v>
      </c>
      <c r="D41" s="764">
        <f>'Factor Values'!C33</f>
        <v>610</v>
      </c>
      <c r="E41" s="764"/>
      <c r="F41" s="764"/>
      <c r="G41" s="156">
        <f>IFERROR(VLOOKUP($G$9,'Adjusted Factors'!$A:$BK,44,FALSE),0)</f>
        <v>5160.2048906076679</v>
      </c>
      <c r="H41" s="178">
        <f>$G41*$D41</f>
        <v>3147724.9832706773</v>
      </c>
      <c r="I41" s="157">
        <v>0.40050000000000002</v>
      </c>
      <c r="J41" s="162">
        <f>I41*H41</f>
        <v>1260663.8557999064</v>
      </c>
      <c r="P41" s="322">
        <f>VLOOKUP($G$9,'ISB new'!$A:$BX,26,FALSE)</f>
        <v>3147724.9832706773</v>
      </c>
      <c r="Q41" s="322">
        <f>P41-H41</f>
        <v>0</v>
      </c>
    </row>
    <row r="42" spans="2:21" ht="46.5" customHeight="1" x14ac:dyDescent="0.25">
      <c r="B42" s="756"/>
      <c r="C42" s="145" t="s">
        <v>217</v>
      </c>
      <c r="D42" s="764">
        <f>'Factor Values'!C34</f>
        <v>1630</v>
      </c>
      <c r="E42" s="764"/>
      <c r="F42" s="764"/>
      <c r="G42" s="156">
        <f>IFERROR(VLOOKUP($G$9,'Adjusted Factors'!$A:$BK,45,FALSE),0)</f>
        <v>828.3506445412637</v>
      </c>
      <c r="H42" s="178">
        <f>$G42*$D42</f>
        <v>1350211.5506022598</v>
      </c>
      <c r="I42" s="157">
        <v>0.40050000000000002</v>
      </c>
      <c r="J42" s="162">
        <f>I42*H42</f>
        <v>540759.72601620504</v>
      </c>
      <c r="K42" s="51"/>
      <c r="P42" s="322">
        <f>VLOOKUP($G$9,'ISB new'!$A:$BX,27,FALSE)</f>
        <v>1350211.5506022596</v>
      </c>
      <c r="Q42" s="322">
        <f>P42-H42</f>
        <v>0</v>
      </c>
    </row>
    <row r="43" spans="2:21" ht="15.5" x14ac:dyDescent="0.25">
      <c r="B43" s="99"/>
      <c r="C43" s="310"/>
      <c r="D43" s="311" t="s">
        <v>218</v>
      </c>
      <c r="E43" s="772" t="s">
        <v>210</v>
      </c>
      <c r="F43" s="773"/>
      <c r="G43" s="187" t="s">
        <v>211</v>
      </c>
      <c r="H43" s="184" t="s">
        <v>179</v>
      </c>
      <c r="I43" s="185"/>
      <c r="J43" s="185" t="s">
        <v>179</v>
      </c>
      <c r="P43" s="322"/>
      <c r="Q43" s="322"/>
    </row>
    <row r="44" spans="2:21" ht="78" customHeight="1" x14ac:dyDescent="0.25">
      <c r="B44" s="75" t="s">
        <v>219</v>
      </c>
      <c r="C44" s="145" t="s">
        <v>220</v>
      </c>
      <c r="D44" s="188">
        <f>IFERROR(G44/G18,0)</f>
        <v>2.0639107412329039E-2</v>
      </c>
      <c r="E44" s="762">
        <f>'Factor Values'!C38</f>
        <v>985</v>
      </c>
      <c r="F44" s="763"/>
      <c r="G44" s="156">
        <f>IFERROR(VLOOKUP($G$9,'Adjusted Factors'!$A:$BK,53,FALSE),0)</f>
        <v>474.63239338447784</v>
      </c>
      <c r="H44" s="178">
        <f>$G44*$E44</f>
        <v>467512.90748371067</v>
      </c>
      <c r="I44" s="157">
        <v>1</v>
      </c>
      <c r="J44" s="162">
        <f>I44*H44</f>
        <v>467512.90748371067</v>
      </c>
      <c r="P44" s="322">
        <f>VLOOKUP($G$9,'ISB new'!$A:$BX,30,FALSE)</f>
        <v>467512.9074837105</v>
      </c>
      <c r="Q44" s="322">
        <f>P44-H44</f>
        <v>0</v>
      </c>
    </row>
    <row r="45" spans="2:21" ht="78" customHeight="1" x14ac:dyDescent="0.25">
      <c r="B45" s="100" t="s">
        <v>221</v>
      </c>
      <c r="C45" s="146" t="s">
        <v>222</v>
      </c>
      <c r="D45" s="188">
        <f>IFERROR(G45/(G19+G20),0)</f>
        <v>6.8234413519213596E-3</v>
      </c>
      <c r="E45" s="762">
        <f>'Factor Values'!C39</f>
        <v>1415</v>
      </c>
      <c r="F45" s="763"/>
      <c r="G45" s="156">
        <f>IFERROR(VLOOKUP($G$9,'Adjusted Factors'!$A:$BK,54,FALSE),0)</f>
        <v>120.30750619640145</v>
      </c>
      <c r="H45" s="325">
        <f>$G45*$E45</f>
        <v>170235.12126790805</v>
      </c>
      <c r="I45" s="157">
        <v>1</v>
      </c>
      <c r="J45" s="162">
        <f>I45*H45</f>
        <v>170235.12126790805</v>
      </c>
      <c r="K45" s="51"/>
      <c r="P45" s="322">
        <f>VLOOKUP($G$9,'ISB new'!$A:$BX,31,FALSE)</f>
        <v>170235.12126790808</v>
      </c>
      <c r="Q45" s="322">
        <f>P45-H45</f>
        <v>0</v>
      </c>
    </row>
    <row r="46" spans="2:21" ht="20.149999999999999" customHeight="1" x14ac:dyDescent="0.25">
      <c r="B46" s="72"/>
      <c r="C46" s="73"/>
      <c r="D46" s="753" t="s">
        <v>223</v>
      </c>
      <c r="E46" s="753"/>
      <c r="F46" s="753"/>
      <c r="G46" s="189" t="s">
        <v>224</v>
      </c>
      <c r="H46" s="184" t="s">
        <v>179</v>
      </c>
      <c r="I46" s="190"/>
      <c r="J46" s="191"/>
      <c r="P46" s="322"/>
      <c r="Q46" s="322"/>
    </row>
    <row r="47" spans="2:21" ht="35.15" customHeight="1" x14ac:dyDescent="0.25">
      <c r="B47" s="42" t="s">
        <v>225</v>
      </c>
      <c r="C47" s="101"/>
      <c r="D47" s="757">
        <f>IFERROR(VLOOKUP(G9,'ISB new'!A:AG,32,FALSE),0)</f>
        <v>13743000</v>
      </c>
      <c r="E47" s="758"/>
      <c r="F47" s="759"/>
      <c r="G47" s="192">
        <v>1</v>
      </c>
      <c r="H47" s="178">
        <f>$G47*$D47</f>
        <v>13743000</v>
      </c>
      <c r="I47" s="193"/>
      <c r="J47" s="194"/>
      <c r="P47" s="322">
        <f>VLOOKUP($G$9,'ISB new'!$A:$BX,32,FALSE)</f>
        <v>13743000</v>
      </c>
      <c r="Q47" s="322">
        <f>P47-D47</f>
        <v>0</v>
      </c>
    </row>
    <row r="48" spans="2:21" ht="20.149999999999999" customHeight="1" x14ac:dyDescent="0.25">
      <c r="B48" s="17"/>
      <c r="C48" s="73"/>
      <c r="D48" s="753" t="s">
        <v>226</v>
      </c>
      <c r="E48" s="753"/>
      <c r="F48" s="753"/>
      <c r="G48" s="189" t="s">
        <v>224</v>
      </c>
      <c r="H48" s="184" t="s">
        <v>179</v>
      </c>
      <c r="I48" s="195"/>
      <c r="J48" s="196"/>
      <c r="P48" s="322"/>
      <c r="Q48" s="322"/>
    </row>
    <row r="49" spans="2:20" ht="35.15" customHeight="1" x14ac:dyDescent="0.25">
      <c r="B49" s="42" t="s">
        <v>227</v>
      </c>
      <c r="C49" s="3"/>
      <c r="D49" s="757">
        <f>IFERROR(VLOOKUP($G$9,'ISB new'!$A:$AL,35,FALSE),0)</f>
        <v>0</v>
      </c>
      <c r="E49" s="758"/>
      <c r="F49" s="759"/>
      <c r="G49" s="197">
        <v>1</v>
      </c>
      <c r="H49" s="178">
        <f>$G49*$D49</f>
        <v>0</v>
      </c>
      <c r="I49" s="198"/>
      <c r="J49" s="199"/>
      <c r="P49" s="322">
        <f>VLOOKUP($G$9,'ISB new'!$A:$BX,35,FALSE)</f>
        <v>0</v>
      </c>
      <c r="Q49" s="322">
        <f>P49-D49</f>
        <v>0</v>
      </c>
    </row>
    <row r="50" spans="2:20" ht="20.149999999999999" customHeight="1" x14ac:dyDescent="0.25">
      <c r="B50" s="17"/>
      <c r="C50" s="73"/>
      <c r="D50" s="753" t="s">
        <v>228</v>
      </c>
      <c r="E50" s="753"/>
      <c r="F50" s="753"/>
      <c r="G50" s="189" t="s">
        <v>224</v>
      </c>
      <c r="H50" s="184" t="s">
        <v>179</v>
      </c>
      <c r="I50" s="195"/>
      <c r="J50" s="196"/>
      <c r="P50" s="322"/>
      <c r="Q50" s="322"/>
    </row>
    <row r="51" spans="2:20" ht="35.15" customHeight="1" x14ac:dyDescent="0.25">
      <c r="B51" s="42" t="s">
        <v>229</v>
      </c>
      <c r="C51" s="3"/>
      <c r="D51" s="757">
        <f>IFERROR(VLOOKUP($G$9,'ISB new'!$A:$AL,37,FALSE),0)</f>
        <v>1379104</v>
      </c>
      <c r="E51" s="758"/>
      <c r="F51" s="759"/>
      <c r="G51" s="197">
        <v>1</v>
      </c>
      <c r="H51" s="178">
        <f>$G51*$D51</f>
        <v>1379104</v>
      </c>
      <c r="I51" s="193"/>
      <c r="J51" s="194"/>
      <c r="P51" s="322">
        <f>VLOOKUP($G$9,'ISB new'!$A:$BX,37,FALSE)</f>
        <v>1379104</v>
      </c>
      <c r="Q51" s="322">
        <f>P51-D51</f>
        <v>0</v>
      </c>
    </row>
    <row r="52" spans="2:20" ht="20.149999999999999" customHeight="1" x14ac:dyDescent="0.25">
      <c r="B52" s="17"/>
      <c r="C52" s="73"/>
      <c r="D52" s="753" t="s">
        <v>230</v>
      </c>
      <c r="E52" s="753"/>
      <c r="F52" s="753"/>
      <c r="G52" s="189" t="s">
        <v>224</v>
      </c>
      <c r="H52" s="184" t="s">
        <v>179</v>
      </c>
      <c r="I52" s="195"/>
      <c r="J52" s="196"/>
      <c r="P52" s="322"/>
      <c r="Q52" s="322"/>
    </row>
    <row r="53" spans="2:20" ht="42.75" customHeight="1" x14ac:dyDescent="0.25">
      <c r="B53" s="41" t="s">
        <v>1413</v>
      </c>
      <c r="C53" s="3"/>
      <c r="D53" s="757">
        <f>IFERROR(VLOOKUP(G9,'ISB new'!A:BN,65,FALSE)+VLOOKUP(G9,'ISB new'!A:BN,53,FALSE),0)</f>
        <v>-3236445.3545102738</v>
      </c>
      <c r="E53" s="758"/>
      <c r="F53" s="759"/>
      <c r="G53" s="197">
        <v>1</v>
      </c>
      <c r="H53" s="178">
        <f>$G53*$D53</f>
        <v>-3236445.3545102738</v>
      </c>
      <c r="I53" s="193"/>
      <c r="J53" s="200" t="s">
        <v>231</v>
      </c>
      <c r="P53" s="322">
        <f>VLOOKUP($G$9,'ISB new'!$A:$BX,65,FALSE)+VLOOKUP($G$9,'ISB new'!$A:$BX,53,FALSE)</f>
        <v>-3236445.3545102738</v>
      </c>
      <c r="Q53" s="322">
        <f>P53-D53</f>
        <v>0</v>
      </c>
    </row>
    <row r="54" spans="2:20" ht="20.149999999999999" customHeight="1" thickBot="1" x14ac:dyDescent="0.3">
      <c r="B54" s="102"/>
      <c r="C54" s="103"/>
      <c r="D54" s="753"/>
      <c r="E54" s="753"/>
      <c r="F54" s="753"/>
      <c r="G54" s="189"/>
      <c r="H54" s="184" t="s">
        <v>179</v>
      </c>
      <c r="I54" s="201"/>
      <c r="J54" s="202"/>
      <c r="P54" s="322"/>
      <c r="Q54" s="322"/>
    </row>
    <row r="55" spans="2:20" ht="30" customHeight="1" thickBot="1" x14ac:dyDescent="0.3">
      <c r="B55" s="16" t="s">
        <v>232</v>
      </c>
      <c r="C55" s="104"/>
      <c r="D55" s="203"/>
      <c r="E55" s="204"/>
      <c r="F55" s="205"/>
      <c r="G55" s="205"/>
      <c r="H55" s="233">
        <f>H21+H36+H38+H39+H41+H42+H44+H45+H47+H49+H51+H53+H25</f>
        <v>274756686.35717505</v>
      </c>
      <c r="I55" s="206"/>
      <c r="J55" s="234">
        <f>J21+J36+J38+J39+J41+J42+J44+J45+J47+J49+J51+J25</f>
        <v>44495674.287699163</v>
      </c>
      <c r="P55" s="322">
        <f>VLOOKUP(G9,'ISB new'!A:AW,48,FALSE)</f>
        <v>44495674.287699133</v>
      </c>
      <c r="Q55" s="322">
        <f>P55-J55</f>
        <v>0</v>
      </c>
    </row>
    <row r="56" spans="2:20" x14ac:dyDescent="0.25">
      <c r="B56" s="54"/>
      <c r="H56" s="65"/>
      <c r="J56" s="292"/>
      <c r="P56" s="322"/>
      <c r="Q56" s="322"/>
    </row>
    <row r="57" spans="2:20" ht="13" x14ac:dyDescent="0.25">
      <c r="B57" s="105"/>
      <c r="C57" s="106"/>
      <c r="D57" s="780"/>
      <c r="E57" s="780"/>
      <c r="F57" s="780"/>
      <c r="G57" s="13"/>
      <c r="H57" s="69"/>
      <c r="I57" s="107"/>
      <c r="J57" s="312"/>
      <c r="L57" s="228"/>
      <c r="M57" s="228"/>
      <c r="N57" s="228"/>
      <c r="P57" s="322"/>
      <c r="Q57" s="322"/>
    </row>
    <row r="58" spans="2:20" ht="13.5" thickBot="1" x14ac:dyDescent="0.3">
      <c r="B58" s="105"/>
      <c r="C58" s="106"/>
      <c r="D58" s="107"/>
      <c r="E58" s="107"/>
      <c r="F58" s="107"/>
      <c r="G58" s="13"/>
      <c r="H58" s="69"/>
      <c r="I58" s="107"/>
      <c r="J58" s="312"/>
      <c r="P58" s="322"/>
      <c r="Q58" s="322"/>
    </row>
    <row r="59" spans="2:20" ht="30" customHeight="1" thickBot="1" x14ac:dyDescent="0.3">
      <c r="B59" s="781" t="s">
        <v>233</v>
      </c>
      <c r="C59" s="782"/>
      <c r="D59" s="782"/>
      <c r="E59" s="782"/>
      <c r="F59" s="782"/>
      <c r="G59" s="782"/>
      <c r="H59" s="783"/>
      <c r="I59" s="788">
        <f>$H55</f>
        <v>274756686.35717505</v>
      </c>
      <c r="J59" s="789"/>
      <c r="K59" s="108"/>
      <c r="N59" s="68"/>
      <c r="O59" s="68"/>
      <c r="P59" s="322">
        <f>VLOOKUP($G$9,'ISB new'!$A:$BX,76,FALSE)</f>
        <v>274756686.35717499</v>
      </c>
      <c r="Q59" s="322">
        <f>P59-I59</f>
        <v>0</v>
      </c>
      <c r="S59" s="65"/>
      <c r="T59" s="65"/>
    </row>
    <row r="60" spans="2:20" ht="21" customHeight="1" x14ac:dyDescent="0.25">
      <c r="B60" s="47"/>
      <c r="C60" s="47"/>
      <c r="D60" s="47"/>
      <c r="E60" s="47"/>
      <c r="F60" s="47"/>
      <c r="G60" s="47"/>
      <c r="H60" s="109"/>
      <c r="I60" s="79"/>
      <c r="J60" s="79"/>
      <c r="K60" s="108"/>
      <c r="L60" s="68"/>
      <c r="M60" s="68"/>
      <c r="N60" s="68"/>
      <c r="O60" s="68"/>
      <c r="P60" s="321"/>
    </row>
    <row r="61" spans="2:20" ht="21" customHeight="1" x14ac:dyDescent="0.25">
      <c r="B61" s="48"/>
      <c r="C61" s="48"/>
      <c r="D61" s="48"/>
      <c r="E61" s="48"/>
      <c r="F61" s="48"/>
      <c r="G61" s="48"/>
      <c r="H61" s="110"/>
      <c r="I61" s="76"/>
      <c r="J61" s="76"/>
      <c r="K61" s="108"/>
      <c r="L61" s="68"/>
      <c r="M61" s="68"/>
      <c r="N61" s="68"/>
      <c r="O61" s="68"/>
      <c r="P61" s="321"/>
    </row>
    <row r="62" spans="2:20" ht="21" customHeight="1" thickBot="1" x14ac:dyDescent="0.3">
      <c r="B62" s="48" t="s">
        <v>162</v>
      </c>
      <c r="C62" s="48"/>
      <c r="D62" s="48"/>
      <c r="E62" s="48"/>
      <c r="F62" s="48"/>
      <c r="G62" s="48"/>
      <c r="H62" s="110"/>
      <c r="I62" s="76"/>
      <c r="J62" s="76"/>
      <c r="K62" s="108"/>
      <c r="L62" s="68"/>
      <c r="M62" s="68"/>
      <c r="N62" s="68"/>
      <c r="O62" s="68"/>
      <c r="P62" s="321"/>
    </row>
    <row r="63" spans="2:20" ht="20.149999999999999" customHeight="1" x14ac:dyDescent="0.25">
      <c r="B63" s="784" t="s">
        <v>234</v>
      </c>
      <c r="C63" s="785"/>
      <c r="D63" s="785"/>
      <c r="E63" s="785"/>
      <c r="F63" s="785"/>
      <c r="G63" s="785"/>
      <c r="H63" s="785"/>
      <c r="I63" s="785"/>
      <c r="J63" s="786"/>
    </row>
    <row r="64" spans="2:20" ht="35.25" customHeight="1" thickBot="1" x14ac:dyDescent="0.3">
      <c r="B64" s="246" t="s">
        <v>1354</v>
      </c>
      <c r="C64" s="240"/>
      <c r="D64" s="241"/>
      <c r="E64" s="242"/>
      <c r="F64" s="243"/>
      <c r="G64" s="244"/>
      <c r="H64" s="245"/>
      <c r="I64" s="790">
        <f>IFERROR(VLOOKUP($G$9,'ISB new'!$A:$AL,36,FALSE),0)</f>
        <v>1720832.33</v>
      </c>
      <c r="J64" s="791"/>
      <c r="K64" s="111"/>
      <c r="L64" s="65"/>
      <c r="M64" s="65"/>
      <c r="N64" s="65"/>
      <c r="O64" s="65"/>
      <c r="P64" s="322">
        <f>VLOOKUP($G$9,'ISB new'!$A:$BX,36,FALSE)</f>
        <v>1720832.33</v>
      </c>
      <c r="Q64" s="322">
        <f>P64-I64</f>
        <v>0</v>
      </c>
    </row>
    <row r="65" spans="2:10" ht="21" customHeight="1" thickTop="1" x14ac:dyDescent="0.25">
      <c r="C65" s="250"/>
      <c r="D65" s="250"/>
      <c r="E65" s="250"/>
      <c r="F65" s="250"/>
      <c r="G65" s="250"/>
      <c r="H65" s="251"/>
      <c r="I65" s="251"/>
    </row>
    <row r="66" spans="2:10" ht="27" customHeight="1" x14ac:dyDescent="0.25">
      <c r="B66" s="13"/>
      <c r="C66" s="49"/>
      <c r="E66" s="74"/>
      <c r="F66" s="65"/>
      <c r="G66" s="112"/>
      <c r="H66" s="113"/>
      <c r="I66" s="74"/>
      <c r="J66" s="74"/>
    </row>
    <row r="67" spans="2:10" ht="27" customHeight="1" x14ac:dyDescent="0.25">
      <c r="B67" s="13"/>
      <c r="C67" s="49"/>
      <c r="E67" s="74"/>
      <c r="F67" s="65"/>
      <c r="G67" s="112"/>
      <c r="H67" s="113"/>
      <c r="I67" s="74"/>
      <c r="J67" s="74"/>
    </row>
    <row r="69" spans="2:10" ht="27" customHeight="1" x14ac:dyDescent="0.25">
      <c r="B69" s="13"/>
      <c r="C69" s="49"/>
      <c r="E69" s="74"/>
      <c r="F69" s="65"/>
      <c r="G69" s="112"/>
      <c r="H69" s="113"/>
      <c r="I69" s="74"/>
      <c r="J69" s="74"/>
    </row>
    <row r="70" spans="2:10" ht="27" customHeight="1" thickBot="1" x14ac:dyDescent="0.3">
      <c r="B70" s="13"/>
      <c r="C70" s="49"/>
      <c r="E70" s="74"/>
      <c r="F70" s="65"/>
      <c r="G70" s="112"/>
      <c r="H70" s="113"/>
      <c r="I70" s="74"/>
      <c r="J70" s="74"/>
    </row>
    <row r="71" spans="2:10" ht="50.15" customHeight="1" thickBot="1" x14ac:dyDescent="0.3">
      <c r="C71" s="784" t="s">
        <v>1355</v>
      </c>
      <c r="D71" s="785"/>
      <c r="E71" s="785"/>
      <c r="F71" s="785"/>
      <c r="G71" s="785"/>
      <c r="H71" s="787"/>
    </row>
    <row r="72" spans="2:10" ht="31.5" thickBot="1" x14ac:dyDescent="0.3">
      <c r="C72" s="114"/>
      <c r="D72" s="207" t="s">
        <v>235</v>
      </c>
      <c r="E72" s="208" t="s">
        <v>236</v>
      </c>
      <c r="F72" s="209" t="s">
        <v>237</v>
      </c>
      <c r="G72" s="210" t="s">
        <v>238</v>
      </c>
      <c r="H72" s="211" t="s">
        <v>179</v>
      </c>
    </row>
    <row r="73" spans="2:10" ht="50.15" customHeight="1" thickBot="1" x14ac:dyDescent="0.3">
      <c r="B73" s="315" t="s">
        <v>239</v>
      </c>
      <c r="C73" s="116" t="s">
        <v>240</v>
      </c>
      <c r="D73" s="212">
        <f>'De-del'!G8</f>
        <v>12.88</v>
      </c>
      <c r="E73" s="213">
        <f>'De-del'!H9</f>
        <v>12.88</v>
      </c>
      <c r="F73" s="313">
        <f>IFERROR(VLOOKUP($G$9,'De-del'!$A:$F,5,FALSE),0)</f>
        <v>6895</v>
      </c>
      <c r="G73" s="313">
        <f>IFERROR(VLOOKUP($G$9,'De-del'!$A:$F,6,FALSE),0)</f>
        <v>3775.5</v>
      </c>
      <c r="H73" s="214">
        <f>(D73*F73+E73*G73)*-1</f>
        <v>-137436.04</v>
      </c>
    </row>
    <row r="74" spans="2:10" ht="25.5" customHeight="1" thickBot="1" x14ac:dyDescent="0.3">
      <c r="B74" s="77"/>
      <c r="C74" s="115"/>
      <c r="D74" s="209" t="s">
        <v>178</v>
      </c>
      <c r="E74" s="210" t="s">
        <v>178</v>
      </c>
      <c r="F74" s="215" t="s">
        <v>241</v>
      </c>
      <c r="G74" s="210" t="s">
        <v>242</v>
      </c>
      <c r="H74" s="211" t="s">
        <v>179</v>
      </c>
    </row>
    <row r="75" spans="2:10" ht="50.15" customHeight="1" thickBot="1" x14ac:dyDescent="0.3">
      <c r="B75" s="315" t="s">
        <v>239</v>
      </c>
      <c r="C75" s="116" t="s">
        <v>243</v>
      </c>
      <c r="D75" s="216">
        <f>'De-del'!I8</f>
        <v>20.27</v>
      </c>
      <c r="E75" s="217">
        <f>'De-del'!J9</f>
        <v>20.27</v>
      </c>
      <c r="F75" s="313">
        <f>F73</f>
        <v>6895</v>
      </c>
      <c r="G75" s="314">
        <f>G73</f>
        <v>3775.5</v>
      </c>
      <c r="H75" s="214">
        <f>(D75*F75+E75*G75)*-1</f>
        <v>-216291.03499999997</v>
      </c>
    </row>
    <row r="76" spans="2:10" ht="25.5" customHeight="1" thickBot="1" x14ac:dyDescent="0.3">
      <c r="B76" s="77"/>
      <c r="C76" s="115"/>
      <c r="D76" s="209" t="s">
        <v>178</v>
      </c>
      <c r="E76" s="210" t="s">
        <v>178</v>
      </c>
      <c r="F76" s="215" t="s">
        <v>241</v>
      </c>
      <c r="G76" s="210" t="s">
        <v>242</v>
      </c>
      <c r="H76" s="211" t="s">
        <v>179</v>
      </c>
    </row>
    <row r="77" spans="2:10" ht="50.15" customHeight="1" thickBot="1" x14ac:dyDescent="0.3">
      <c r="B77" s="315" t="s">
        <v>244</v>
      </c>
      <c r="C77" s="116" t="s">
        <v>245</v>
      </c>
      <c r="D77" s="216">
        <f>'De-del'!K8</f>
        <v>27.13</v>
      </c>
      <c r="E77" s="217">
        <f>'De-del'!L9</f>
        <v>27.13</v>
      </c>
      <c r="F77" s="313">
        <f>F73</f>
        <v>6895</v>
      </c>
      <c r="G77" s="314">
        <f>G73</f>
        <v>3775.5</v>
      </c>
      <c r="H77" s="214">
        <f>(D77*F77+E77*G77)*-1</f>
        <v>-289490.66500000004</v>
      </c>
    </row>
    <row r="78" spans="2:10" ht="25.5" customHeight="1" thickBot="1" x14ac:dyDescent="0.3">
      <c r="B78" s="77"/>
      <c r="C78" s="115"/>
      <c r="D78" s="209" t="s">
        <v>178</v>
      </c>
      <c r="E78" s="210" t="s">
        <v>178</v>
      </c>
      <c r="F78" s="215" t="s">
        <v>241</v>
      </c>
      <c r="G78" s="210" t="s">
        <v>242</v>
      </c>
      <c r="H78" s="211" t="s">
        <v>179</v>
      </c>
    </row>
    <row r="79" spans="2:10" ht="50.15" customHeight="1" thickBot="1" x14ac:dyDescent="0.3">
      <c r="B79" s="315" t="s">
        <v>246</v>
      </c>
      <c r="C79" s="116" t="s">
        <v>247</v>
      </c>
      <c r="D79" s="216">
        <f>'De-del'!M8</f>
        <v>16.59</v>
      </c>
      <c r="E79" s="217">
        <f>'De-del'!N9</f>
        <v>16.59</v>
      </c>
      <c r="F79" s="313">
        <f>F73</f>
        <v>6895</v>
      </c>
      <c r="G79" s="314">
        <f>G73</f>
        <v>3775.5</v>
      </c>
      <c r="H79" s="214">
        <f>(D79*F79+E79*G79)*-1</f>
        <v>-177023.595</v>
      </c>
    </row>
    <row r="80" spans="2:10" ht="25.5" customHeight="1" thickBot="1" x14ac:dyDescent="0.3">
      <c r="B80" s="77"/>
      <c r="C80" s="117"/>
      <c r="D80" s="209" t="s">
        <v>178</v>
      </c>
      <c r="E80" s="210" t="s">
        <v>178</v>
      </c>
      <c r="F80" s="215" t="s">
        <v>241</v>
      </c>
      <c r="G80" s="210" t="s">
        <v>242</v>
      </c>
      <c r="H80" s="211" t="s">
        <v>179</v>
      </c>
    </row>
    <row r="81" spans="2:17" ht="50.15" customHeight="1" thickBot="1" x14ac:dyDescent="0.3">
      <c r="B81" s="315" t="s">
        <v>246</v>
      </c>
      <c r="C81" s="116" t="s">
        <v>248</v>
      </c>
      <c r="D81" s="216">
        <f>'De-del'!O8</f>
        <v>11.18</v>
      </c>
      <c r="E81" s="217">
        <f>'De-del'!P9</f>
        <v>0</v>
      </c>
      <c r="F81" s="313">
        <f>F73</f>
        <v>6895</v>
      </c>
      <c r="G81" s="314">
        <v>0</v>
      </c>
      <c r="H81" s="214">
        <f>(D81*F81+E81*G81)*-1</f>
        <v>-77086.099999999991</v>
      </c>
    </row>
    <row r="82" spans="2:17" ht="25.5" customHeight="1" thickBot="1" x14ac:dyDescent="0.3">
      <c r="B82" s="77"/>
      <c r="C82" s="114"/>
      <c r="D82" s="218"/>
      <c r="E82" s="219"/>
      <c r="F82" s="218"/>
      <c r="G82" s="219"/>
      <c r="H82" s="211" t="s">
        <v>179</v>
      </c>
    </row>
    <row r="83" spans="2:17" ht="30" customHeight="1" thickBot="1" x14ac:dyDescent="0.3">
      <c r="B83" s="315" t="s">
        <v>249</v>
      </c>
      <c r="C83" s="777" t="s">
        <v>250</v>
      </c>
      <c r="D83" s="778"/>
      <c r="E83" s="778"/>
      <c r="F83" s="778"/>
      <c r="G83" s="779"/>
      <c r="H83" s="220">
        <f>H73+H75+H77+H79+H81</f>
        <v>-897327.43499999994</v>
      </c>
      <c r="P83" s="675"/>
      <c r="Q83" s="675"/>
    </row>
    <row r="88" spans="2:17" ht="50.15" hidden="1" customHeight="1" x14ac:dyDescent="0.25">
      <c r="C88" s="774" t="s">
        <v>251</v>
      </c>
      <c r="D88" s="775"/>
      <c r="E88" s="775"/>
      <c r="F88" s="775"/>
      <c r="G88" s="775"/>
      <c r="H88" s="776"/>
    </row>
    <row r="89" spans="2:17" ht="31.5" hidden="1" thickBot="1" x14ac:dyDescent="0.3">
      <c r="C89" s="118"/>
      <c r="D89" s="119" t="s">
        <v>235</v>
      </c>
      <c r="E89" s="120" t="s">
        <v>236</v>
      </c>
      <c r="F89" s="119" t="s">
        <v>237</v>
      </c>
      <c r="G89" s="120" t="s">
        <v>238</v>
      </c>
      <c r="H89" s="121" t="s">
        <v>179</v>
      </c>
    </row>
    <row r="90" spans="2:17" ht="50.15" hidden="1" customHeight="1" x14ac:dyDescent="0.25">
      <c r="C90" s="122" t="s">
        <v>245</v>
      </c>
      <c r="D90" s="123">
        <v>-21.14</v>
      </c>
      <c r="E90" s="124">
        <v>-21.14</v>
      </c>
      <c r="F90" s="125">
        <f>IF($H$83&gt;0,,L$21)</f>
        <v>0</v>
      </c>
      <c r="G90" s="126">
        <f>IF($H$83&gt;0,,M$21)</f>
        <v>0</v>
      </c>
      <c r="H90" s="127">
        <f>D90*F90+E90*G90</f>
        <v>0</v>
      </c>
    </row>
    <row r="91" spans="2:17" ht="25.5" hidden="1" customHeight="1" x14ac:dyDescent="0.25">
      <c r="C91" s="128"/>
      <c r="D91" s="128" t="s">
        <v>178</v>
      </c>
      <c r="E91" s="129" t="s">
        <v>178</v>
      </c>
      <c r="F91" s="130" t="s">
        <v>241</v>
      </c>
      <c r="G91" s="129" t="s">
        <v>242</v>
      </c>
      <c r="H91" s="121" t="s">
        <v>179</v>
      </c>
    </row>
    <row r="92" spans="2:17" ht="50.15" hidden="1" customHeight="1" x14ac:dyDescent="0.25">
      <c r="C92" s="122" t="s">
        <v>247</v>
      </c>
      <c r="D92" s="131">
        <v>-9.6999999999999993</v>
      </c>
      <c r="E92" s="132">
        <v>-11.93</v>
      </c>
      <c r="F92" s="125">
        <f>IF($H$83&gt;0,,L$21)</f>
        <v>0</v>
      </c>
      <c r="G92" s="126">
        <f>IF($H$83&gt;0,,M$21)</f>
        <v>0</v>
      </c>
      <c r="H92" s="127">
        <f>D92*F92+E92*G92</f>
        <v>0</v>
      </c>
    </row>
    <row r="93" spans="2:17" ht="25.5" hidden="1" customHeight="1" x14ac:dyDescent="0.25">
      <c r="C93" s="133"/>
      <c r="D93" s="128" t="s">
        <v>178</v>
      </c>
      <c r="E93" s="129" t="s">
        <v>178</v>
      </c>
      <c r="F93" s="130" t="s">
        <v>241</v>
      </c>
      <c r="G93" s="129" t="s">
        <v>242</v>
      </c>
      <c r="H93" s="121" t="s">
        <v>179</v>
      </c>
    </row>
    <row r="94" spans="2:17" ht="50.15" hidden="1" customHeight="1" x14ac:dyDescent="0.25">
      <c r="C94" s="122" t="s">
        <v>252</v>
      </c>
      <c r="D94" s="134">
        <v>-21.89</v>
      </c>
      <c r="E94" s="135">
        <v>-16.8</v>
      </c>
      <c r="F94" s="125">
        <f>IF($H$83&gt;0,,L$21)</f>
        <v>0</v>
      </c>
      <c r="G94" s="126">
        <f>IF($H$83&gt;0,,M$21)</f>
        <v>0</v>
      </c>
      <c r="H94" s="127">
        <f>D94*F94+E94*G94</f>
        <v>0</v>
      </c>
    </row>
    <row r="95" spans="2:17" ht="25.5" hidden="1" customHeight="1" x14ac:dyDescent="0.25">
      <c r="C95" s="136"/>
      <c r="D95" s="137"/>
      <c r="E95" s="138"/>
      <c r="F95" s="128"/>
      <c r="G95" s="129"/>
      <c r="H95" s="121" t="s">
        <v>179</v>
      </c>
    </row>
    <row r="96" spans="2:17" ht="25.5" hidden="1" customHeight="1" x14ac:dyDescent="0.25">
      <c r="C96" s="139" t="s">
        <v>253</v>
      </c>
      <c r="D96" s="140"/>
      <c r="E96" s="141"/>
      <c r="F96" s="140"/>
      <c r="G96" s="141"/>
      <c r="H96" s="142">
        <f>H94+H92+H90</f>
        <v>0</v>
      </c>
    </row>
    <row r="97" hidden="1" x14ac:dyDescent="0.25"/>
    <row r="132" spans="2:8" x14ac:dyDescent="0.25">
      <c r="B132" s="77"/>
      <c r="C132" s="77"/>
      <c r="D132" s="77"/>
      <c r="E132" s="77"/>
      <c r="F132" s="77"/>
      <c r="G132" s="77"/>
      <c r="H132" s="143"/>
    </row>
  </sheetData>
  <sheetProtection algorithmName="SHA-512" hashValue="2dYcjnXdDELHTaQ8ey3WxHAhBlgUOmPMmJAzwTFnrpohkYjSHyC6oTuUbSccxVfhFNkuthKiR5T3y0Om7A4y3g==" saltValue="D7QKwLk2Q4XA7RMiOpx2dg==" spinCount="100000" sheet="1" autoFilter="0"/>
  <mergeCells count="36">
    <mergeCell ref="D49:F49"/>
    <mergeCell ref="C88:H88"/>
    <mergeCell ref="C83:G83"/>
    <mergeCell ref="D57:F57"/>
    <mergeCell ref="B59:H59"/>
    <mergeCell ref="B63:J63"/>
    <mergeCell ref="D51:F51"/>
    <mergeCell ref="D53:F53"/>
    <mergeCell ref="D50:F50"/>
    <mergeCell ref="D52:F52"/>
    <mergeCell ref="C71:H71"/>
    <mergeCell ref="I59:J59"/>
    <mergeCell ref="D54:F54"/>
    <mergeCell ref="I64:J64"/>
    <mergeCell ref="G9:G10"/>
    <mergeCell ref="F9:F10"/>
    <mergeCell ref="E45:F45"/>
    <mergeCell ref="B38:B39"/>
    <mergeCell ref="D42:F42"/>
    <mergeCell ref="D38:F38"/>
    <mergeCell ref="B22:H22"/>
    <mergeCell ref="B27:B35"/>
    <mergeCell ref="D37:F37"/>
    <mergeCell ref="D39:F39"/>
    <mergeCell ref="D41:F41"/>
    <mergeCell ref="D40:F40"/>
    <mergeCell ref="B41:B42"/>
    <mergeCell ref="E43:F43"/>
    <mergeCell ref="E44:F44"/>
    <mergeCell ref="B2:B4"/>
    <mergeCell ref="B9:D10"/>
    <mergeCell ref="B11:D11"/>
    <mergeCell ref="D48:F48"/>
    <mergeCell ref="B18:B20"/>
    <mergeCell ref="D47:F47"/>
    <mergeCell ref="D46:F46"/>
  </mergeCells>
  <conditionalFormatting sqref="B73">
    <cfRule type="cellIs" dxfId="34" priority="22" stopIfTrue="1" operator="equal">
      <formula>"Z01"</formula>
    </cfRule>
    <cfRule type="cellIs" dxfId="33" priority="23" stopIfTrue="1" operator="greaterThanOrEqual">
      <formula>"Z02"</formula>
    </cfRule>
    <cfRule type="cellIs" dxfId="32" priority="24" stopIfTrue="1" operator="equal">
      <formula>"B01"</formula>
    </cfRule>
  </conditionalFormatting>
  <conditionalFormatting sqref="B75">
    <cfRule type="cellIs" dxfId="31" priority="16" stopIfTrue="1" operator="equal">
      <formula>"Z01"</formula>
    </cfRule>
    <cfRule type="cellIs" dxfId="30" priority="17" stopIfTrue="1" operator="greaterThanOrEqual">
      <formula>"Z02"</formula>
    </cfRule>
    <cfRule type="cellIs" dxfId="29" priority="18" stopIfTrue="1" operator="equal">
      <formula>"B01"</formula>
    </cfRule>
  </conditionalFormatting>
  <conditionalFormatting sqref="B77">
    <cfRule type="cellIs" dxfId="28" priority="10" stopIfTrue="1" operator="equal">
      <formula>"Z01"</formula>
    </cfRule>
    <cfRule type="cellIs" dxfId="27" priority="11" stopIfTrue="1" operator="greaterThanOrEqual">
      <formula>"Z02"</formula>
    </cfRule>
    <cfRule type="cellIs" dxfId="26" priority="12" stopIfTrue="1" operator="equal">
      <formula>"B01"</formula>
    </cfRule>
  </conditionalFormatting>
  <conditionalFormatting sqref="B79">
    <cfRule type="cellIs" dxfId="25" priority="7" stopIfTrue="1" operator="equal">
      <formula>"Z01"</formula>
    </cfRule>
    <cfRule type="cellIs" dxfId="24" priority="8" stopIfTrue="1" operator="greaterThanOrEqual">
      <formula>"Z02"</formula>
    </cfRule>
    <cfRule type="cellIs" dxfId="23" priority="9" stopIfTrue="1" operator="equal">
      <formula>"B01"</formula>
    </cfRule>
  </conditionalFormatting>
  <conditionalFormatting sqref="B81">
    <cfRule type="cellIs" dxfId="22" priority="4" stopIfTrue="1" operator="equal">
      <formula>"Z01"</formula>
    </cfRule>
    <cfRule type="cellIs" dxfId="21" priority="5" stopIfTrue="1" operator="greaterThanOrEqual">
      <formula>"Z02"</formula>
    </cfRule>
    <cfRule type="cellIs" dxfId="20" priority="6" stopIfTrue="1" operator="equal">
      <formula>"B01"</formula>
    </cfRule>
  </conditionalFormatting>
  <conditionalFormatting sqref="B83">
    <cfRule type="cellIs" dxfId="19" priority="19" stopIfTrue="1" operator="equal">
      <formula>"Z01"</formula>
    </cfRule>
    <cfRule type="cellIs" dxfId="18" priority="20" stopIfTrue="1" operator="greaterThanOrEqual">
      <formula>"Z02"</formula>
    </cfRule>
    <cfRule type="cellIs" dxfId="17" priority="21" stopIfTrue="1" operator="equal">
      <formula>"B01"</formula>
    </cfRule>
  </conditionalFormatting>
  <dataValidations count="1">
    <dataValidation type="decimal" operator="greaterThanOrEqual" allowBlank="1" showInputMessage="1" showErrorMessage="1" errorTitle="Error" error="Thisfigure cannot be negative. Please provide a positive unit value." sqref="F77:G77 F92:G92 F90:G90 F81:G81 F94:G94 F75:G75 F79:G79 F73:G73" xr:uid="{00000000-0002-0000-0100-000000000000}">
      <formula1>0</formula1>
    </dataValidation>
  </dataValidations>
  <hyperlinks>
    <hyperlink ref="B2" r:id="rId1" display="mailto:schoolfinanceteam@derby.gov.uk" xr:uid="{AA6FD05B-6011-4582-9875-97EA8F6A2991}"/>
  </hyperlinks>
  <pageMargins left="0.19685039370078741" right="0.19685039370078741" top="0.15748031496062992" bottom="0.15748031496062992" header="0.31496062992125984" footer="0.31496062992125984"/>
  <pageSetup paperSize="9" scale="42" fitToHeight="0" orientation="portrait" r:id="rId2"/>
  <headerFooter>
    <oddHeader>&amp;L&amp;"arial,Bold"&amp;11&amp;K008040Classification: OFFICIAL</oddHeader>
    <oddFooter>&amp;L&amp;"arial,Bold"&amp;11&amp;K008040Classification: OFFICIAL</oddFooter>
    <evenHeader>&amp;L&amp;"arial,Bold"&amp;11&amp;K008040Classification: OFFICIAL</evenHeader>
    <evenFooter>&amp;L&amp;"arial,Bold"&amp;11&amp;K008040Classification: OFFICIAL</evenFooter>
    <firstHeader>&amp;L&amp;"arial,Bold"&amp;11&amp;K008040Classification: OFFICIAL</firstHeader>
    <firstFooter>&amp;L&amp;"arial,Bold"&amp;11&amp;K008040Classification: OFFICIAL</firstFooter>
  </headerFooter>
  <rowBreaks count="1" manualBreakCount="1">
    <brk id="70" min="1" max="1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DF53-7656-4F36-BF74-E91FE0C45C3E}">
  <sheetPr codeName="Sheet12">
    <pageSetUpPr fitToPage="1"/>
  </sheetPr>
  <dimension ref="B1:AK305"/>
  <sheetViews>
    <sheetView zoomScale="48" workbookViewId="0">
      <selection activeCell="E28" sqref="E28"/>
    </sheetView>
  </sheetViews>
  <sheetFormatPr defaultRowHeight="12.5" x14ac:dyDescent="0.25"/>
  <cols>
    <col min="1" max="1" width="8.1796875" customWidth="1"/>
    <col min="2" max="2" width="67.81640625" customWidth="1"/>
    <col min="3" max="3" width="35.81640625" customWidth="1"/>
    <col min="4" max="7" width="16.81640625" customWidth="1"/>
    <col min="8" max="8" width="20.81640625" customWidth="1"/>
    <col min="9" max="9" width="20.81640625" style="683" customWidth="1"/>
    <col min="10" max="10" width="12.1796875" style="683" customWidth="1"/>
    <col min="11" max="11" width="9.1796875" style="683"/>
    <col min="12" max="12" width="8.7265625" style="685"/>
    <col min="13" max="13" width="12.54296875" style="686" customWidth="1"/>
    <col min="14" max="14" width="9.1796875" style="686"/>
    <col min="15" max="37" width="8.7265625" style="685"/>
  </cols>
  <sheetData>
    <row r="1" spans="2:37" s="50" customFormat="1" ht="13" thickBot="1" x14ac:dyDescent="0.3">
      <c r="H1" s="51"/>
      <c r="I1" s="687"/>
      <c r="J1" s="687"/>
      <c r="K1" s="676"/>
      <c r="L1" s="676"/>
      <c r="M1" s="677"/>
      <c r="N1" s="677"/>
      <c r="O1" s="676"/>
      <c r="P1" s="676"/>
      <c r="Q1" s="676"/>
      <c r="R1" s="676"/>
      <c r="S1" s="676"/>
      <c r="T1" s="676"/>
      <c r="U1" s="676"/>
      <c r="V1" s="676"/>
      <c r="W1" s="676"/>
      <c r="X1" s="676"/>
      <c r="Y1" s="676"/>
      <c r="Z1" s="676"/>
      <c r="AA1" s="676"/>
      <c r="AB1" s="676"/>
      <c r="AC1" s="676"/>
      <c r="AD1" s="676"/>
      <c r="AE1" s="676"/>
      <c r="AF1" s="676"/>
      <c r="AG1" s="676"/>
      <c r="AH1" s="676"/>
      <c r="AI1" s="676"/>
      <c r="AJ1" s="676"/>
      <c r="AK1" s="676"/>
    </row>
    <row r="2" spans="2:37" s="50" customFormat="1" ht="22.5" customHeight="1" x14ac:dyDescent="0.25">
      <c r="B2" s="726" t="s">
        <v>152</v>
      </c>
      <c r="C2" s="45"/>
      <c r="I2" s="676"/>
      <c r="J2" s="676"/>
      <c r="K2" s="676"/>
      <c r="L2" s="676"/>
      <c r="M2" s="677"/>
      <c r="N2" s="677"/>
      <c r="O2" s="676"/>
      <c r="P2" s="676"/>
      <c r="Q2" s="676"/>
      <c r="R2" s="676"/>
      <c r="S2" s="676"/>
      <c r="T2" s="676"/>
      <c r="U2" s="676"/>
      <c r="V2" s="676"/>
      <c r="W2" s="676"/>
      <c r="X2" s="676"/>
      <c r="Y2" s="676"/>
      <c r="Z2" s="676"/>
      <c r="AA2" s="676"/>
      <c r="AB2" s="676"/>
      <c r="AC2" s="676"/>
      <c r="AD2" s="676"/>
      <c r="AE2" s="676"/>
      <c r="AF2" s="676"/>
      <c r="AG2" s="676"/>
      <c r="AH2" s="676"/>
      <c r="AI2" s="676"/>
      <c r="AJ2" s="676"/>
      <c r="AK2" s="676"/>
    </row>
    <row r="3" spans="2:37" s="50" customFormat="1" ht="20.25" customHeight="1" x14ac:dyDescent="0.25">
      <c r="B3" s="727"/>
      <c r="C3" s="51"/>
      <c r="I3" s="676"/>
      <c r="J3" s="676"/>
      <c r="K3" s="676"/>
      <c r="L3" s="676"/>
      <c r="M3" s="677"/>
      <c r="N3" s="677"/>
      <c r="O3" s="676"/>
      <c r="P3" s="676"/>
      <c r="Q3" s="676"/>
      <c r="R3" s="676"/>
      <c r="S3" s="676"/>
      <c r="T3" s="676"/>
      <c r="U3" s="676"/>
      <c r="V3" s="676"/>
      <c r="W3" s="676"/>
      <c r="X3" s="676"/>
      <c r="Y3" s="676"/>
      <c r="Z3" s="676"/>
      <c r="AA3" s="676"/>
      <c r="AB3" s="676"/>
      <c r="AC3" s="676"/>
      <c r="AD3" s="676"/>
      <c r="AE3" s="676"/>
      <c r="AF3" s="676"/>
      <c r="AG3" s="676"/>
      <c r="AH3" s="676"/>
      <c r="AI3" s="676"/>
      <c r="AJ3" s="676"/>
      <c r="AK3" s="676"/>
    </row>
    <row r="4" spans="2:37" s="50" customFormat="1" ht="21.75" customHeight="1" thickBot="1" x14ac:dyDescent="0.3">
      <c r="B4" s="728"/>
      <c r="C4" s="51"/>
      <c r="D4" s="51"/>
      <c r="E4" s="51"/>
      <c r="F4" s="51"/>
      <c r="G4" s="51"/>
      <c r="H4" s="51"/>
      <c r="I4" s="687"/>
      <c r="J4" s="687"/>
      <c r="K4" s="676"/>
      <c r="L4" s="676"/>
      <c r="M4" s="677"/>
      <c r="N4" s="677"/>
      <c r="O4" s="676"/>
      <c r="P4" s="676"/>
      <c r="Q4" s="676"/>
      <c r="R4" s="676"/>
      <c r="S4" s="676"/>
      <c r="T4" s="676"/>
      <c r="U4" s="676"/>
      <c r="V4" s="676"/>
      <c r="W4" s="676"/>
      <c r="X4" s="676"/>
      <c r="Y4" s="676"/>
      <c r="Z4" s="676"/>
      <c r="AA4" s="676"/>
      <c r="AB4" s="676"/>
      <c r="AC4" s="676"/>
      <c r="AD4" s="676"/>
      <c r="AE4" s="676"/>
      <c r="AF4" s="676"/>
      <c r="AG4" s="676"/>
      <c r="AH4" s="676"/>
      <c r="AI4" s="676"/>
      <c r="AJ4" s="676"/>
      <c r="AK4" s="676"/>
    </row>
    <row r="5" spans="2:37" s="50" customFormat="1" x14ac:dyDescent="0.25">
      <c r="B5" s="248"/>
      <c r="C5" s="51"/>
      <c r="D5" s="51"/>
      <c r="E5" s="51"/>
      <c r="F5" s="51"/>
      <c r="G5" s="51"/>
      <c r="H5" s="51"/>
      <c r="I5" s="687"/>
      <c r="J5" s="687"/>
      <c r="K5" s="676"/>
      <c r="L5" s="676"/>
      <c r="M5" s="677"/>
      <c r="N5" s="677"/>
      <c r="O5" s="676"/>
      <c r="P5" s="676"/>
      <c r="Q5" s="676"/>
      <c r="R5" s="676"/>
      <c r="S5" s="676"/>
      <c r="T5" s="676"/>
      <c r="U5" s="676"/>
      <c r="V5" s="676"/>
      <c r="W5" s="676"/>
      <c r="X5" s="676"/>
      <c r="Y5" s="676"/>
      <c r="Z5" s="676"/>
      <c r="AA5" s="676"/>
      <c r="AB5" s="676"/>
      <c r="AC5" s="676"/>
      <c r="AD5" s="676"/>
      <c r="AE5" s="676"/>
      <c r="AF5" s="676"/>
      <c r="AG5" s="676"/>
      <c r="AH5" s="676"/>
      <c r="AI5" s="676"/>
      <c r="AJ5" s="676"/>
      <c r="AK5" s="676"/>
    </row>
    <row r="6" spans="2:37" s="50" customFormat="1" x14ac:dyDescent="0.25">
      <c r="B6" s="239"/>
      <c r="C6" s="51"/>
      <c r="D6" s="51"/>
      <c r="E6" s="51"/>
      <c r="F6" s="51"/>
      <c r="G6" s="51"/>
      <c r="H6" s="51"/>
      <c r="I6" s="687"/>
      <c r="J6" s="687"/>
      <c r="K6" s="676"/>
      <c r="L6" s="676"/>
      <c r="M6" s="677"/>
      <c r="N6" s="677"/>
      <c r="O6" s="676"/>
      <c r="P6" s="676"/>
      <c r="Q6" s="676"/>
      <c r="R6" s="676"/>
      <c r="S6" s="676"/>
      <c r="T6" s="676"/>
      <c r="U6" s="676"/>
      <c r="V6" s="676"/>
      <c r="W6" s="676"/>
      <c r="X6" s="676"/>
      <c r="Y6" s="676"/>
      <c r="Z6" s="676"/>
      <c r="AA6" s="676"/>
      <c r="AB6" s="676"/>
      <c r="AC6" s="676"/>
      <c r="AD6" s="676"/>
      <c r="AE6" s="676"/>
      <c r="AF6" s="676"/>
      <c r="AG6" s="676"/>
      <c r="AH6" s="676"/>
      <c r="AI6" s="676"/>
      <c r="AJ6" s="676"/>
      <c r="AK6" s="676"/>
    </row>
    <row r="7" spans="2:37" s="50" customFormat="1" ht="13" thickBot="1" x14ac:dyDescent="0.3">
      <c r="H7" s="51"/>
      <c r="I7" s="687"/>
      <c r="J7" s="687"/>
      <c r="K7" s="676"/>
      <c r="L7" s="676"/>
      <c r="M7" s="677"/>
      <c r="N7" s="677"/>
      <c r="O7" s="676"/>
      <c r="P7" s="676"/>
      <c r="Q7" s="676"/>
      <c r="R7" s="676"/>
      <c r="S7" s="676"/>
      <c r="T7" s="676"/>
      <c r="U7" s="676"/>
      <c r="V7" s="676"/>
      <c r="W7" s="676"/>
      <c r="X7" s="676"/>
      <c r="Y7" s="676"/>
      <c r="Z7" s="676"/>
      <c r="AA7" s="676"/>
      <c r="AB7" s="676"/>
      <c r="AC7" s="676"/>
      <c r="AD7" s="676"/>
      <c r="AE7" s="676"/>
      <c r="AF7" s="676"/>
      <c r="AG7" s="676"/>
      <c r="AH7" s="676"/>
      <c r="AI7" s="676"/>
      <c r="AJ7" s="676"/>
      <c r="AK7" s="676"/>
    </row>
    <row r="8" spans="2:37" s="50" customFormat="1" ht="30" customHeight="1" thickBot="1" x14ac:dyDescent="0.3">
      <c r="B8" s="238" t="s">
        <v>1350</v>
      </c>
      <c r="C8" s="324"/>
      <c r="D8" s="52"/>
      <c r="E8" s="52"/>
      <c r="F8" s="52"/>
      <c r="G8" s="52"/>
      <c r="H8" s="53"/>
      <c r="I8" s="687"/>
      <c r="J8" s="687"/>
      <c r="K8" s="676"/>
      <c r="L8" s="676"/>
      <c r="M8" s="677"/>
      <c r="N8" s="677"/>
      <c r="O8" s="676"/>
      <c r="P8" s="676"/>
      <c r="Q8" s="676"/>
      <c r="R8" s="676"/>
      <c r="S8" s="676"/>
      <c r="T8" s="676"/>
      <c r="U8" s="676"/>
      <c r="V8" s="676"/>
      <c r="W8" s="676"/>
      <c r="X8" s="676"/>
      <c r="Y8" s="676"/>
      <c r="Z8" s="676"/>
      <c r="AA8" s="676"/>
      <c r="AB8" s="676"/>
      <c r="AC8" s="676"/>
      <c r="AD8" s="676"/>
      <c r="AE8" s="676"/>
      <c r="AF8" s="676"/>
      <c r="AG8" s="676"/>
      <c r="AH8" s="676"/>
      <c r="AI8" s="676"/>
      <c r="AJ8" s="676"/>
      <c r="AK8" s="676"/>
    </row>
    <row r="9" spans="2:37" s="50" customFormat="1" ht="15" customHeight="1" x14ac:dyDescent="0.25">
      <c r="B9" s="54"/>
      <c r="C9" s="59"/>
      <c r="D9" s="59"/>
      <c r="E9" s="59"/>
      <c r="H9" s="292"/>
      <c r="I9" s="687"/>
      <c r="J9" s="687"/>
      <c r="K9" s="676"/>
      <c r="L9" s="676"/>
      <c r="M9" s="677"/>
      <c r="N9" s="677"/>
      <c r="O9" s="676"/>
      <c r="P9" s="676"/>
      <c r="Q9" s="676"/>
      <c r="R9" s="676"/>
      <c r="S9" s="676"/>
      <c r="T9" s="676"/>
      <c r="U9" s="676"/>
      <c r="V9" s="676"/>
      <c r="W9" s="676"/>
      <c r="X9" s="676"/>
      <c r="Y9" s="676"/>
      <c r="Z9" s="676"/>
      <c r="AA9" s="676"/>
      <c r="AB9" s="676"/>
      <c r="AC9" s="676"/>
      <c r="AD9" s="676"/>
      <c r="AE9" s="676"/>
      <c r="AF9" s="676"/>
      <c r="AG9" s="676"/>
      <c r="AH9" s="676"/>
      <c r="AI9" s="676"/>
      <c r="AJ9" s="676"/>
      <c r="AK9" s="676"/>
    </row>
    <row r="10" spans="2:37" s="50" customFormat="1" ht="15" customHeight="1" thickBot="1" x14ac:dyDescent="0.3">
      <c r="B10" s="54"/>
      <c r="C10" s="59"/>
      <c r="D10" s="59"/>
      <c r="E10" s="59"/>
      <c r="H10" s="292"/>
      <c r="I10" s="687"/>
      <c r="J10" s="687"/>
      <c r="K10" s="678"/>
      <c r="L10" s="676"/>
      <c r="M10" s="677"/>
      <c r="N10" s="677"/>
      <c r="O10" s="676"/>
      <c r="P10" s="676"/>
      <c r="Q10" s="676"/>
      <c r="R10" s="676"/>
      <c r="S10" s="676"/>
      <c r="T10" s="676"/>
      <c r="U10" s="676"/>
      <c r="V10" s="676"/>
      <c r="W10" s="676"/>
      <c r="X10" s="676"/>
      <c r="Y10" s="676"/>
      <c r="Z10" s="676"/>
      <c r="AA10" s="676"/>
      <c r="AB10" s="676"/>
      <c r="AC10" s="676"/>
      <c r="AD10" s="676"/>
      <c r="AE10" s="676"/>
      <c r="AF10" s="676"/>
      <c r="AG10" s="676"/>
      <c r="AH10" s="676"/>
      <c r="AI10" s="676"/>
      <c r="AJ10" s="676"/>
      <c r="AK10" s="676"/>
    </row>
    <row r="11" spans="2:37" s="49" customFormat="1" ht="33.75" customHeight="1" x14ac:dyDescent="0.25">
      <c r="B11" s="729" t="s">
        <v>177</v>
      </c>
      <c r="C11" s="730"/>
      <c r="D11" s="731"/>
      <c r="E11" s="57"/>
      <c r="F11" s="735" t="s">
        <v>1121</v>
      </c>
      <c r="G11" s="221"/>
      <c r="H11" s="252"/>
      <c r="I11" s="688"/>
      <c r="J11" s="688"/>
      <c r="K11" s="679"/>
      <c r="L11" s="679"/>
      <c r="M11" s="680"/>
      <c r="N11" s="680"/>
      <c r="O11" s="679"/>
      <c r="P11" s="679"/>
      <c r="Q11" s="679"/>
      <c r="R11" s="679"/>
      <c r="S11" s="679"/>
      <c r="T11" s="679"/>
      <c r="U11" s="679"/>
      <c r="V11" s="679"/>
      <c r="W11" s="679"/>
      <c r="X11" s="679"/>
      <c r="Y11" s="679"/>
      <c r="Z11" s="679"/>
      <c r="AA11" s="679"/>
      <c r="AB11" s="679"/>
      <c r="AC11" s="679"/>
      <c r="AD11" s="679"/>
      <c r="AE11" s="679"/>
      <c r="AF11" s="679"/>
      <c r="AG11" s="679"/>
      <c r="AH11" s="679"/>
      <c r="AI11" s="679"/>
      <c r="AJ11" s="679"/>
      <c r="AK11" s="679"/>
    </row>
    <row r="12" spans="2:37" s="49" customFormat="1" ht="32.25" customHeight="1" thickBot="1" x14ac:dyDescent="0.3">
      <c r="B12" s="732"/>
      <c r="C12" s="733"/>
      <c r="D12" s="734"/>
      <c r="E12" s="57"/>
      <c r="F12" s="736"/>
      <c r="G12" s="221"/>
      <c r="H12" s="252"/>
      <c r="I12" s="688"/>
      <c r="J12" s="688"/>
      <c r="K12" s="679"/>
      <c r="L12" s="679"/>
      <c r="M12" s="680"/>
      <c r="N12" s="680"/>
      <c r="O12" s="679"/>
      <c r="P12" s="679"/>
      <c r="Q12" s="679"/>
      <c r="R12" s="679"/>
      <c r="S12" s="679"/>
      <c r="T12" s="679"/>
      <c r="U12" s="679"/>
      <c r="V12" s="679"/>
      <c r="W12" s="679"/>
      <c r="X12" s="679"/>
      <c r="Y12" s="679"/>
      <c r="Z12" s="679"/>
      <c r="AA12" s="679"/>
      <c r="AB12" s="679"/>
      <c r="AC12" s="679"/>
      <c r="AD12" s="679"/>
      <c r="AE12" s="679"/>
      <c r="AF12" s="679"/>
      <c r="AG12" s="679"/>
      <c r="AH12" s="679"/>
      <c r="AI12" s="679"/>
      <c r="AJ12" s="679"/>
      <c r="AK12" s="679"/>
    </row>
    <row r="13" spans="2:37" s="50" customFormat="1" ht="33" customHeight="1" thickBot="1" x14ac:dyDescent="0.3">
      <c r="B13" s="737" t="str">
        <f>IFERROR(IF(F13=12345,"",'Schools Summary'!B12),0)</f>
        <v>All Providers</v>
      </c>
      <c r="C13" s="738"/>
      <c r="D13" s="739"/>
      <c r="E13" s="55"/>
      <c r="F13" s="222" t="str">
        <f>IFERROR('Schools Summary'!F12,0)</f>
        <v>XXX</v>
      </c>
      <c r="G13" s="223"/>
      <c r="H13" s="252"/>
      <c r="I13" s="689"/>
      <c r="J13" s="689"/>
      <c r="K13" s="676"/>
      <c r="L13" s="676"/>
      <c r="M13" s="677"/>
      <c r="N13" s="677"/>
      <c r="O13" s="676"/>
      <c r="P13" s="676"/>
      <c r="Q13" s="676"/>
      <c r="R13" s="676"/>
      <c r="S13" s="676"/>
      <c r="T13" s="676"/>
      <c r="U13" s="676"/>
      <c r="V13" s="676"/>
      <c r="W13" s="676"/>
      <c r="X13" s="676"/>
      <c r="Y13" s="676"/>
      <c r="Z13" s="676"/>
      <c r="AA13" s="676"/>
      <c r="AB13" s="676"/>
      <c r="AC13" s="676"/>
      <c r="AD13" s="676"/>
      <c r="AE13" s="676"/>
      <c r="AF13" s="676"/>
      <c r="AG13" s="676"/>
      <c r="AH13" s="676"/>
      <c r="AI13" s="676"/>
      <c r="AJ13" s="676"/>
      <c r="AK13" s="676"/>
    </row>
    <row r="14" spans="2:37" s="50" customFormat="1" ht="27" customHeight="1" x14ac:dyDescent="0.25">
      <c r="B14" s="58"/>
      <c r="C14" s="740"/>
      <c r="D14" s="740"/>
      <c r="E14" s="740"/>
      <c r="F14" s="55"/>
      <c r="G14" s="55"/>
      <c r="H14" s="293"/>
      <c r="I14" s="689"/>
      <c r="J14" s="689"/>
      <c r="K14" s="676"/>
      <c r="L14" s="676"/>
      <c r="M14" s="677"/>
      <c r="N14" s="677"/>
      <c r="O14" s="676"/>
      <c r="P14" s="676"/>
      <c r="Q14" s="676"/>
      <c r="R14" s="676"/>
      <c r="S14" s="676"/>
      <c r="T14" s="676"/>
      <c r="U14" s="676"/>
      <c r="V14" s="676"/>
      <c r="W14" s="676"/>
      <c r="X14" s="676"/>
      <c r="Y14" s="676"/>
      <c r="Z14" s="676"/>
      <c r="AA14" s="676"/>
      <c r="AB14" s="676"/>
      <c r="AC14" s="676"/>
      <c r="AD14" s="676"/>
      <c r="AE14" s="676"/>
      <c r="AF14" s="676"/>
      <c r="AG14" s="676"/>
      <c r="AH14" s="676"/>
      <c r="AI14" s="676"/>
      <c r="AJ14" s="676"/>
      <c r="AK14" s="676"/>
    </row>
    <row r="15" spans="2:37" s="50" customFormat="1" ht="27" customHeight="1" thickBot="1" x14ac:dyDescent="0.3">
      <c r="B15" s="58"/>
      <c r="C15" s="59"/>
      <c r="D15" s="59"/>
      <c r="E15" s="59"/>
      <c r="F15" s="55"/>
      <c r="G15" s="55"/>
      <c r="H15" s="294"/>
      <c r="I15" s="678"/>
      <c r="J15" s="689"/>
      <c r="K15" s="676"/>
      <c r="L15" s="676"/>
      <c r="M15" s="677"/>
      <c r="N15" s="677"/>
      <c r="O15" s="676"/>
      <c r="P15" s="676"/>
      <c r="Q15" s="676"/>
      <c r="R15" s="676"/>
      <c r="S15" s="676"/>
      <c r="T15" s="676"/>
      <c r="U15" s="676"/>
      <c r="V15" s="676"/>
      <c r="W15" s="676"/>
      <c r="X15" s="676"/>
      <c r="Y15" s="676"/>
      <c r="Z15" s="676"/>
      <c r="AA15" s="676"/>
      <c r="AB15" s="676"/>
      <c r="AC15" s="676"/>
      <c r="AD15" s="676"/>
      <c r="AE15" s="676"/>
      <c r="AF15" s="676"/>
      <c r="AG15" s="676"/>
      <c r="AH15" s="676"/>
      <c r="AI15" s="676"/>
      <c r="AJ15" s="676"/>
      <c r="AK15" s="676"/>
    </row>
    <row r="16" spans="2:37" s="50" customFormat="1" ht="57" customHeight="1" thickBot="1" x14ac:dyDescent="0.3">
      <c r="B16" s="696" t="s">
        <v>166</v>
      </c>
      <c r="C16" s="697"/>
      <c r="D16" s="151" t="s">
        <v>167</v>
      </c>
      <c r="E16" s="259" t="str">
        <f>'PVI Early Years'!E16</f>
        <v>May 2026 Term Hours</v>
      </c>
      <c r="F16" s="259" t="str">
        <f>'PVI Early Years'!F16</f>
        <v>Oct 2026 Term Hours</v>
      </c>
      <c r="G16" s="259" t="str">
        <f>'PVI Early Years'!G16</f>
        <v>Jan 2027 Term Hours</v>
      </c>
      <c r="H16" s="150" t="s">
        <v>168</v>
      </c>
      <c r="I16" s="688"/>
      <c r="J16" s="690"/>
      <c r="K16" s="676"/>
      <c r="L16" s="676"/>
      <c r="M16" s="677"/>
      <c r="N16" s="677"/>
      <c r="O16" s="676"/>
      <c r="P16" s="676"/>
      <c r="Q16" s="676"/>
      <c r="R16" s="676"/>
      <c r="S16" s="676"/>
      <c r="T16" s="676"/>
      <c r="U16" s="676"/>
      <c r="V16" s="676"/>
      <c r="W16" s="676"/>
      <c r="X16" s="676"/>
      <c r="Y16" s="676"/>
      <c r="Z16" s="676"/>
      <c r="AA16" s="676"/>
      <c r="AB16" s="676"/>
      <c r="AC16" s="676"/>
      <c r="AD16" s="676"/>
      <c r="AE16" s="676"/>
      <c r="AF16" s="676"/>
      <c r="AG16" s="676"/>
      <c r="AH16" s="676"/>
      <c r="AI16" s="676"/>
      <c r="AJ16" s="676"/>
      <c r="AK16" s="676"/>
    </row>
    <row r="17" spans="2:37" s="50" customFormat="1" ht="35.15" customHeight="1" x14ac:dyDescent="0.25">
      <c r="B17" s="713" t="s">
        <v>1299</v>
      </c>
      <c r="C17" s="714"/>
      <c r="D17" s="295">
        <v>5.79</v>
      </c>
      <c r="E17" s="296">
        <f>IFERROR(SUMIF('3&amp;4 Yo'!$A:$A,'Early Years'!$F$13,'3&amp;4 Yo'!E:E),0)</f>
        <v>418925.01</v>
      </c>
      <c r="F17" s="296">
        <f>IFERROR(SUMIF('3&amp;4 Yo'!$A:$A,'Early Years'!$F$13,'3&amp;4 Yo'!I:I),0)</f>
        <v>342885.64285714284</v>
      </c>
      <c r="G17" s="296">
        <f>IFERROR(SUMIF('3&amp;4 Yo'!$A:$A,'Early Years'!$F$13,'3&amp;4 Yo'!M:M),0)</f>
        <v>325754.01136363635</v>
      </c>
      <c r="H17" s="258">
        <f>SUM(E17:G17)*D17</f>
        <v>6296999.4058383116</v>
      </c>
      <c r="I17" s="691"/>
      <c r="J17" s="692"/>
      <c r="K17" s="676"/>
      <c r="L17" s="676"/>
      <c r="M17" s="681"/>
      <c r="N17" s="682"/>
      <c r="O17" s="676"/>
      <c r="P17" s="676"/>
      <c r="Q17" s="676"/>
      <c r="R17" s="676"/>
      <c r="S17" s="676"/>
      <c r="T17" s="676"/>
      <c r="U17" s="676"/>
      <c r="V17" s="676"/>
      <c r="W17" s="676"/>
      <c r="X17" s="676"/>
      <c r="Y17" s="676"/>
      <c r="Z17" s="676"/>
      <c r="AA17" s="676"/>
      <c r="AB17" s="676"/>
      <c r="AC17" s="676"/>
      <c r="AD17" s="676"/>
      <c r="AE17" s="676"/>
      <c r="AF17" s="676"/>
      <c r="AG17" s="676"/>
      <c r="AH17" s="676"/>
      <c r="AI17" s="676"/>
      <c r="AJ17" s="676"/>
      <c r="AK17" s="676"/>
    </row>
    <row r="18" spans="2:37" s="50" customFormat="1" ht="35.15" customHeight="1" x14ac:dyDescent="0.25">
      <c r="B18" s="713" t="s">
        <v>1300</v>
      </c>
      <c r="C18" s="714"/>
      <c r="D18" s="295">
        <v>5.79</v>
      </c>
      <c r="E18" s="296">
        <f>IFERROR(SUMIF('3&amp;4 Yo'!$A:$A,'Early Years'!$F$13,'3&amp;4 Yo'!F:F),0)</f>
        <v>109829.5</v>
      </c>
      <c r="F18" s="296">
        <f>IFERROR(SUMIF('3&amp;4 Yo'!$A:$A,'Early Years'!$F$13,'3&amp;4 Yo'!J:J),0)</f>
        <v>99562.5</v>
      </c>
      <c r="G18" s="296">
        <f>IFERROR(SUMIF('3&amp;4 Yo'!$A:$A,'Early Years'!$F$13,'3&amp;4 Yo'!N:N),0)</f>
        <v>88134.291666666657</v>
      </c>
      <c r="H18" s="258">
        <f>SUM(E18:G18)*D18</f>
        <v>1722677.2287499998</v>
      </c>
      <c r="I18" s="691"/>
      <c r="J18" s="692"/>
      <c r="K18" s="676"/>
      <c r="L18" s="676"/>
      <c r="M18" s="681"/>
      <c r="N18" s="682"/>
      <c r="O18" s="676"/>
      <c r="P18" s="676"/>
      <c r="Q18" s="676"/>
      <c r="R18" s="676"/>
      <c r="S18" s="676"/>
      <c r="T18" s="676"/>
      <c r="U18" s="676"/>
      <c r="V18" s="676"/>
      <c r="W18" s="676"/>
      <c r="X18" s="676"/>
      <c r="Y18" s="676"/>
      <c r="Z18" s="676"/>
      <c r="AA18" s="676"/>
      <c r="AB18" s="676"/>
      <c r="AC18" s="676"/>
      <c r="AD18" s="676"/>
      <c r="AE18" s="676"/>
      <c r="AF18" s="676"/>
      <c r="AG18" s="676"/>
      <c r="AH18" s="676"/>
      <c r="AI18" s="676"/>
      <c r="AJ18" s="676"/>
      <c r="AK18" s="676"/>
    </row>
    <row r="19" spans="2:37" s="50" customFormat="1" ht="35.15" customHeight="1" x14ac:dyDescent="0.25">
      <c r="B19" s="715" t="s">
        <v>1111</v>
      </c>
      <c r="C19" s="716"/>
      <c r="D19" s="254">
        <v>8.42</v>
      </c>
      <c r="E19" s="417"/>
      <c r="F19" s="417"/>
      <c r="G19" s="417"/>
      <c r="H19" s="418"/>
      <c r="I19" s="691"/>
      <c r="J19" s="692"/>
      <c r="K19" s="676"/>
      <c r="L19" s="676"/>
      <c r="M19" s="681"/>
      <c r="N19" s="682"/>
      <c r="O19" s="676"/>
      <c r="P19" s="676"/>
      <c r="Q19" s="676"/>
      <c r="R19" s="676"/>
      <c r="S19" s="676"/>
      <c r="T19" s="676"/>
      <c r="U19" s="676"/>
      <c r="V19" s="676"/>
      <c r="W19" s="676"/>
      <c r="X19" s="676"/>
      <c r="Y19" s="676"/>
      <c r="Z19" s="676"/>
      <c r="AA19" s="676"/>
      <c r="AB19" s="676"/>
      <c r="AC19" s="676"/>
      <c r="AD19" s="676"/>
      <c r="AE19" s="676"/>
      <c r="AF19" s="676"/>
      <c r="AG19" s="676"/>
      <c r="AH19" s="676"/>
      <c r="AI19" s="676"/>
      <c r="AJ19" s="676"/>
      <c r="AK19" s="676"/>
    </row>
    <row r="20" spans="2:37" s="50" customFormat="1" ht="35.15" customHeight="1" x14ac:dyDescent="0.25">
      <c r="B20" s="715" t="s">
        <v>1110</v>
      </c>
      <c r="C20" s="716"/>
      <c r="D20" s="254">
        <v>8.42</v>
      </c>
      <c r="E20" s="417"/>
      <c r="F20" s="417"/>
      <c r="G20" s="417"/>
      <c r="H20" s="419"/>
      <c r="I20" s="691"/>
      <c r="J20" s="692"/>
      <c r="K20" s="676"/>
      <c r="L20" s="676"/>
      <c r="M20" s="681"/>
      <c r="N20" s="682"/>
      <c r="O20" s="676"/>
      <c r="P20" s="676"/>
      <c r="Q20" s="676"/>
      <c r="R20" s="676"/>
      <c r="S20" s="676"/>
      <c r="T20" s="676"/>
      <c r="U20" s="676"/>
      <c r="V20" s="676"/>
      <c r="W20" s="676"/>
      <c r="X20" s="676"/>
      <c r="Y20" s="676"/>
      <c r="Z20" s="676"/>
      <c r="AA20" s="676"/>
      <c r="AB20" s="676"/>
      <c r="AC20" s="676"/>
      <c r="AD20" s="676"/>
      <c r="AE20" s="676"/>
      <c r="AF20" s="676"/>
      <c r="AG20" s="676"/>
      <c r="AH20" s="676"/>
      <c r="AI20" s="676"/>
      <c r="AJ20" s="676"/>
      <c r="AK20" s="676"/>
    </row>
    <row r="21" spans="2:37" s="50" customFormat="1" ht="35.15" customHeight="1" thickBot="1" x14ac:dyDescent="0.3">
      <c r="B21" s="717" t="s">
        <v>1108</v>
      </c>
      <c r="C21" s="718"/>
      <c r="D21" s="255">
        <v>11.46</v>
      </c>
      <c r="E21" s="417"/>
      <c r="F21" s="417"/>
      <c r="G21" s="417"/>
      <c r="H21" s="420"/>
      <c r="I21" s="691"/>
      <c r="J21" s="692"/>
      <c r="K21" s="676"/>
      <c r="L21" s="676"/>
      <c r="M21" s="681"/>
      <c r="N21" s="682"/>
      <c r="O21" s="676"/>
      <c r="P21" s="676"/>
      <c r="Q21" s="676"/>
      <c r="R21" s="676"/>
      <c r="S21" s="676"/>
      <c r="T21" s="676"/>
      <c r="U21" s="676"/>
      <c r="V21" s="676"/>
      <c r="W21" s="676"/>
      <c r="X21" s="676"/>
      <c r="Y21" s="676"/>
      <c r="Z21" s="676"/>
      <c r="AA21" s="676"/>
      <c r="AB21" s="676"/>
      <c r="AC21" s="676"/>
      <c r="AD21" s="676"/>
      <c r="AE21" s="676"/>
      <c r="AF21" s="676"/>
      <c r="AG21" s="676"/>
      <c r="AH21" s="676"/>
      <c r="AI21" s="676"/>
      <c r="AJ21" s="676"/>
      <c r="AK21" s="676"/>
    </row>
    <row r="22" spans="2:37" s="50" customFormat="1" ht="50.25" customHeight="1" thickBot="1" x14ac:dyDescent="0.3">
      <c r="B22" s="719" t="s">
        <v>171</v>
      </c>
      <c r="C22" s="720"/>
      <c r="D22" s="151" t="s">
        <v>167</v>
      </c>
      <c r="E22" s="701"/>
      <c r="F22" s="702"/>
      <c r="G22" s="703"/>
      <c r="H22" s="150" t="s">
        <v>168</v>
      </c>
      <c r="I22" s="688"/>
      <c r="J22" s="688"/>
      <c r="K22" s="676"/>
      <c r="L22" s="676"/>
      <c r="M22" s="681"/>
      <c r="N22" s="677"/>
      <c r="O22" s="676"/>
      <c r="P22" s="676"/>
      <c r="Q22" s="676"/>
      <c r="R22" s="676"/>
      <c r="S22" s="676"/>
      <c r="T22" s="676"/>
      <c r="U22" s="676"/>
      <c r="V22" s="676"/>
      <c r="W22" s="676"/>
      <c r="X22" s="676"/>
      <c r="Y22" s="676"/>
      <c r="Z22" s="676"/>
      <c r="AA22" s="676"/>
      <c r="AB22" s="676"/>
      <c r="AC22" s="676"/>
      <c r="AD22" s="676"/>
      <c r="AE22" s="676"/>
      <c r="AF22" s="676"/>
      <c r="AG22" s="676"/>
      <c r="AH22" s="676"/>
      <c r="AI22" s="676"/>
      <c r="AJ22" s="676"/>
      <c r="AK22" s="676"/>
    </row>
    <row r="23" spans="2:37" s="50" customFormat="1" ht="35.15" customHeight="1" x14ac:dyDescent="0.25">
      <c r="B23" s="721" t="s">
        <v>172</v>
      </c>
      <c r="C23" s="722"/>
      <c r="D23" s="297">
        <v>0.6</v>
      </c>
      <c r="E23" s="704"/>
      <c r="F23" s="705"/>
      <c r="G23" s="706"/>
      <c r="H23" s="149">
        <f>IFERROR(SUMIF('3&amp;4 Yo'!$A:$A,'Early Years'!$F$13,'3&amp;4 Yo'!AB:AB),0)*D23</f>
        <v>297911.60357142857</v>
      </c>
      <c r="I23" s="691"/>
      <c r="J23" s="691"/>
      <c r="K23" s="676"/>
      <c r="L23" s="676"/>
      <c r="M23" s="681"/>
      <c r="N23" s="682"/>
      <c r="O23" s="676"/>
      <c r="P23" s="676"/>
      <c r="Q23" s="676"/>
      <c r="R23" s="676"/>
      <c r="S23" s="676"/>
      <c r="T23" s="676"/>
      <c r="U23" s="676"/>
      <c r="V23" s="676"/>
      <c r="W23" s="676"/>
      <c r="X23" s="676"/>
      <c r="Y23" s="676"/>
      <c r="Z23" s="676"/>
      <c r="AA23" s="676"/>
      <c r="AB23" s="676"/>
      <c r="AC23" s="676"/>
      <c r="AD23" s="676"/>
      <c r="AE23" s="676"/>
      <c r="AF23" s="676"/>
      <c r="AG23" s="676"/>
      <c r="AH23" s="676"/>
      <c r="AI23" s="676"/>
      <c r="AJ23" s="676"/>
      <c r="AK23" s="676"/>
    </row>
    <row r="24" spans="2:37" s="50" customFormat="1" ht="35.15" customHeight="1" x14ac:dyDescent="0.25">
      <c r="B24" s="715" t="s">
        <v>173</v>
      </c>
      <c r="C24" s="716"/>
      <c r="D24" s="256">
        <v>0.2</v>
      </c>
      <c r="E24" s="707"/>
      <c r="F24" s="708"/>
      <c r="G24" s="709"/>
      <c r="H24" s="149">
        <f>IFERROR(SUMIF('3&amp;4 Yo'!$A:$A,'Early Years'!$F$13,'3&amp;4 Yo'!AJ:AJ),0)*D24</f>
        <v>67029.179761904757</v>
      </c>
      <c r="I24" s="691"/>
      <c r="J24" s="691"/>
      <c r="K24" s="676"/>
      <c r="L24" s="676"/>
      <c r="M24" s="681"/>
      <c r="N24" s="682"/>
      <c r="O24" s="676"/>
      <c r="P24" s="676"/>
      <c r="Q24" s="676"/>
      <c r="R24" s="676"/>
      <c r="S24" s="676"/>
      <c r="T24" s="676"/>
      <c r="U24" s="676"/>
      <c r="V24" s="676"/>
      <c r="W24" s="676"/>
      <c r="X24" s="676"/>
      <c r="Y24" s="676"/>
      <c r="Z24" s="676"/>
      <c r="AA24" s="676"/>
      <c r="AB24" s="676"/>
      <c r="AC24" s="676"/>
      <c r="AD24" s="676"/>
      <c r="AE24" s="676"/>
      <c r="AF24" s="676"/>
      <c r="AG24" s="676"/>
      <c r="AH24" s="676"/>
      <c r="AI24" s="676"/>
      <c r="AJ24" s="676"/>
      <c r="AK24" s="676"/>
    </row>
    <row r="25" spans="2:37" s="50" customFormat="1" ht="35.15" customHeight="1" thickBot="1" x14ac:dyDescent="0.3">
      <c r="B25" s="717" t="s">
        <v>174</v>
      </c>
      <c r="C25" s="718"/>
      <c r="D25" s="257">
        <v>0.2</v>
      </c>
      <c r="E25" s="710"/>
      <c r="F25" s="711"/>
      <c r="G25" s="712"/>
      <c r="H25" s="149">
        <f>IFERROR(SUMIF('3&amp;4 Yo'!$A:$A,'Early Years'!$F$13,'3&amp;4 Yo'!AU:AU),0)*D25</f>
        <v>40358.134523809531</v>
      </c>
      <c r="I25" s="691"/>
      <c r="J25" s="691"/>
      <c r="K25" s="676"/>
      <c r="L25" s="676"/>
      <c r="M25" s="681"/>
      <c r="N25" s="682"/>
      <c r="O25" s="676"/>
      <c r="P25" s="676"/>
      <c r="Q25" s="676"/>
      <c r="R25" s="676"/>
      <c r="S25" s="676"/>
      <c r="T25" s="676"/>
      <c r="U25" s="676"/>
      <c r="V25" s="676"/>
      <c r="W25" s="676"/>
      <c r="X25" s="676"/>
      <c r="Y25" s="676"/>
      <c r="Z25" s="676"/>
      <c r="AA25" s="676"/>
      <c r="AB25" s="676"/>
      <c r="AC25" s="676"/>
      <c r="AD25" s="676"/>
      <c r="AE25" s="676"/>
      <c r="AF25" s="676"/>
      <c r="AG25" s="676"/>
      <c r="AH25" s="676"/>
      <c r="AI25" s="676"/>
      <c r="AJ25" s="676"/>
      <c r="AK25" s="676"/>
    </row>
    <row r="26" spans="2:37" s="50" customFormat="1" ht="47.25" customHeight="1" thickBot="1" x14ac:dyDescent="0.3">
      <c r="B26" s="63" t="s">
        <v>254</v>
      </c>
      <c r="C26" s="151" t="s">
        <v>255</v>
      </c>
      <c r="D26" s="151" t="s">
        <v>256</v>
      </c>
      <c r="E26" s="723"/>
      <c r="F26" s="724"/>
      <c r="G26" s="725"/>
      <c r="H26" s="150" t="s">
        <v>168</v>
      </c>
      <c r="I26" s="693"/>
      <c r="J26" s="693"/>
      <c r="K26" s="676"/>
      <c r="L26" s="676"/>
      <c r="M26" s="681"/>
      <c r="N26" s="682"/>
      <c r="O26" s="676"/>
      <c r="P26" s="676"/>
      <c r="Q26" s="676"/>
      <c r="R26" s="676"/>
      <c r="S26" s="676"/>
      <c r="T26" s="676"/>
      <c r="U26" s="676"/>
      <c r="V26" s="676"/>
      <c r="W26" s="676"/>
      <c r="X26" s="676"/>
      <c r="Y26" s="676"/>
      <c r="Z26" s="676"/>
      <c r="AA26" s="676"/>
      <c r="AB26" s="676"/>
      <c r="AC26" s="676"/>
      <c r="AD26" s="676"/>
      <c r="AE26" s="676"/>
      <c r="AF26" s="676"/>
      <c r="AG26" s="676"/>
      <c r="AH26" s="676"/>
      <c r="AI26" s="676"/>
      <c r="AJ26" s="676"/>
      <c r="AK26" s="676"/>
    </row>
    <row r="27" spans="2:37" s="50" customFormat="1" ht="35.15" customHeight="1" x14ac:dyDescent="0.25">
      <c r="B27" s="64" t="s">
        <v>257</v>
      </c>
      <c r="C27" s="225">
        <v>100000</v>
      </c>
      <c r="D27" s="224" t="s">
        <v>258</v>
      </c>
      <c r="E27" s="253"/>
      <c r="F27" s="279"/>
      <c r="G27" s="280"/>
      <c r="H27" s="149">
        <f>IFERROR(SUMIF('3&amp;4 Yo'!A:A,'Early Years'!F13,'3&amp;4 Yo'!AX:AX),0)</f>
        <v>700000</v>
      </c>
      <c r="I27" s="693"/>
      <c r="J27" s="693"/>
      <c r="K27" s="676"/>
      <c r="L27" s="676"/>
      <c r="M27" s="681"/>
      <c r="N27" s="682"/>
      <c r="O27" s="676"/>
      <c r="P27" s="676"/>
      <c r="Q27" s="676"/>
      <c r="R27" s="676"/>
      <c r="S27" s="676"/>
      <c r="T27" s="676"/>
      <c r="U27" s="676"/>
      <c r="V27" s="676"/>
      <c r="W27" s="676"/>
      <c r="X27" s="676"/>
      <c r="Y27" s="676"/>
      <c r="Z27" s="676"/>
      <c r="AA27" s="676"/>
      <c r="AB27" s="676"/>
      <c r="AC27" s="676"/>
      <c r="AD27" s="676"/>
      <c r="AE27" s="676"/>
      <c r="AF27" s="676"/>
      <c r="AG27" s="676"/>
      <c r="AH27" s="676"/>
      <c r="AI27" s="676"/>
      <c r="AJ27" s="676"/>
      <c r="AK27" s="676"/>
    </row>
    <row r="28" spans="2:37" s="50" customFormat="1" ht="35.15" customHeight="1" thickBot="1" x14ac:dyDescent="0.3">
      <c r="B28" s="480" t="s">
        <v>259</v>
      </c>
      <c r="C28" s="481">
        <v>4.12</v>
      </c>
      <c r="D28" s="482" t="s">
        <v>260</v>
      </c>
      <c r="E28" s="483">
        <f>IFERROR(SUMIF('3&amp;4 Yo'!$A$5:$A$12,'Early Years'!$F$13,'3&amp;4 Yo'!E5:E12),0)</f>
        <v>90519</v>
      </c>
      <c r="F28" s="483">
        <f>IFERROR(SUMIF('3&amp;4 Yo'!$A5:$A12,'Early Years'!$F$13,'3&amp;4 Yo'!I5:I12),0)</f>
        <v>61908</v>
      </c>
      <c r="G28" s="483">
        <f>IFERROR(SUMIF('3&amp;4 Yo'!$A5:$A12,'Early Years'!$F$13,'3&amp;4 Yo'!M5:M12),0)</f>
        <v>67996.5</v>
      </c>
      <c r="H28" s="281">
        <f>SUM(E28:G28)*C28</f>
        <v>908144.82000000007</v>
      </c>
      <c r="I28" s="693"/>
      <c r="J28" s="694"/>
      <c r="K28" s="676"/>
      <c r="L28" s="676"/>
      <c r="M28" s="681"/>
      <c r="N28" s="682"/>
      <c r="O28" s="676"/>
      <c r="P28" s="676"/>
      <c r="Q28" s="676"/>
      <c r="R28" s="676"/>
      <c r="S28" s="676"/>
      <c r="T28" s="676"/>
      <c r="U28" s="676"/>
      <c r="V28" s="676"/>
      <c r="W28" s="676"/>
      <c r="X28" s="676"/>
      <c r="Y28" s="676"/>
      <c r="Z28" s="676"/>
      <c r="AA28" s="676"/>
      <c r="AB28" s="676"/>
      <c r="AC28" s="676"/>
      <c r="AD28" s="676"/>
      <c r="AE28" s="676"/>
      <c r="AF28" s="676"/>
      <c r="AG28" s="676"/>
      <c r="AH28" s="676"/>
      <c r="AI28" s="676"/>
      <c r="AJ28" s="676"/>
      <c r="AK28" s="676"/>
    </row>
    <row r="29" spans="2:37" s="50" customFormat="1" ht="35.15" customHeight="1" thickBot="1" x14ac:dyDescent="0.3">
      <c r="B29" s="15" t="s">
        <v>175</v>
      </c>
      <c r="C29" s="66"/>
      <c r="D29" s="67"/>
      <c r="E29" s="67"/>
      <c r="F29" s="67"/>
      <c r="G29" s="484"/>
      <c r="H29" s="234">
        <f>SUM(H17:H28)</f>
        <v>10033120.372445455</v>
      </c>
      <c r="I29" s="693"/>
      <c r="J29" s="695"/>
      <c r="K29" s="676"/>
      <c r="L29" s="676"/>
      <c r="M29" s="681"/>
      <c r="N29" s="682"/>
      <c r="O29" s="676"/>
      <c r="P29" s="676"/>
      <c r="Q29" s="676"/>
      <c r="R29" s="676"/>
      <c r="S29" s="676"/>
      <c r="T29" s="676"/>
      <c r="U29" s="676"/>
      <c r="V29" s="676"/>
      <c r="W29" s="676"/>
      <c r="X29" s="676"/>
      <c r="Y29" s="676"/>
      <c r="Z29" s="676"/>
      <c r="AA29" s="676"/>
      <c r="AB29" s="676"/>
      <c r="AC29" s="676"/>
      <c r="AD29" s="676"/>
      <c r="AE29" s="676"/>
      <c r="AF29" s="676"/>
      <c r="AG29" s="676"/>
      <c r="AH29" s="676"/>
      <c r="AI29" s="676"/>
      <c r="AJ29" s="676"/>
      <c r="AK29" s="676"/>
    </row>
    <row r="30" spans="2:37" s="50" customFormat="1" ht="37.5" customHeight="1" thickBot="1" x14ac:dyDescent="0.3">
      <c r="B30" s="698" t="s">
        <v>176</v>
      </c>
      <c r="C30" s="699"/>
      <c r="D30" s="699"/>
      <c r="E30" s="699"/>
      <c r="F30" s="699"/>
      <c r="G30" s="699"/>
      <c r="H30" s="700"/>
      <c r="I30" s="687"/>
      <c r="J30" s="687"/>
      <c r="K30" s="676"/>
      <c r="L30" s="676"/>
      <c r="M30" s="677"/>
      <c r="N30" s="677"/>
      <c r="O30" s="676"/>
      <c r="P30" s="676"/>
      <c r="Q30" s="676"/>
      <c r="R30" s="676"/>
      <c r="S30" s="676"/>
      <c r="T30" s="676"/>
      <c r="U30" s="676"/>
      <c r="V30" s="676"/>
      <c r="W30" s="676"/>
      <c r="X30" s="676"/>
      <c r="Y30" s="676"/>
      <c r="Z30" s="676"/>
      <c r="AA30" s="676"/>
      <c r="AB30" s="676"/>
      <c r="AC30" s="676"/>
      <c r="AD30" s="676"/>
      <c r="AE30" s="676"/>
      <c r="AF30" s="676"/>
      <c r="AG30" s="676"/>
      <c r="AH30" s="676"/>
      <c r="AI30" s="676"/>
      <c r="AJ30" s="676"/>
      <c r="AK30" s="676"/>
    </row>
    <row r="31" spans="2:37" s="50" customFormat="1" ht="27" customHeight="1" x14ac:dyDescent="0.25">
      <c r="B31" s="70" t="s">
        <v>1109</v>
      </c>
      <c r="C31" s="70"/>
      <c r="D31" s="70"/>
      <c r="E31" s="70"/>
      <c r="F31" s="70"/>
      <c r="G31" s="70"/>
      <c r="H31" s="70"/>
      <c r="I31" s="687"/>
      <c r="J31" s="687"/>
      <c r="K31" s="676"/>
      <c r="L31" s="676"/>
      <c r="M31" s="677"/>
      <c r="N31" s="677"/>
      <c r="O31" s="676"/>
      <c r="P31" s="676"/>
      <c r="Q31" s="676"/>
      <c r="R31" s="676"/>
      <c r="S31" s="676"/>
      <c r="T31" s="676"/>
      <c r="U31" s="676"/>
      <c r="V31" s="676"/>
      <c r="W31" s="676"/>
      <c r="X31" s="676"/>
      <c r="Y31" s="676"/>
      <c r="Z31" s="676"/>
      <c r="AA31" s="676"/>
      <c r="AB31" s="676"/>
      <c r="AC31" s="676"/>
      <c r="AD31" s="676"/>
      <c r="AE31" s="676"/>
      <c r="AF31" s="676"/>
      <c r="AG31" s="676"/>
      <c r="AH31" s="676"/>
      <c r="AI31" s="676"/>
      <c r="AJ31" s="676"/>
      <c r="AK31" s="676"/>
    </row>
    <row r="32" spans="2:37" s="50" customFormat="1" ht="27" customHeight="1" x14ac:dyDescent="0.25">
      <c r="B32" s="71"/>
      <c r="C32" s="71"/>
      <c r="D32" s="71"/>
      <c r="E32" s="71"/>
      <c r="F32" s="71"/>
      <c r="G32" s="71"/>
      <c r="H32" s="71"/>
      <c r="I32" s="687"/>
      <c r="J32" s="687"/>
      <c r="K32" s="676"/>
      <c r="L32" s="676"/>
      <c r="M32" s="677"/>
      <c r="N32" s="677"/>
      <c r="O32" s="676"/>
      <c r="P32" s="676"/>
      <c r="Q32" s="676"/>
      <c r="R32" s="676"/>
      <c r="S32" s="676"/>
      <c r="T32" s="676"/>
      <c r="U32" s="676"/>
      <c r="V32" s="676"/>
      <c r="W32" s="676"/>
      <c r="X32" s="676"/>
      <c r="Y32" s="676"/>
      <c r="Z32" s="676"/>
      <c r="AA32" s="676"/>
      <c r="AB32" s="676"/>
      <c r="AC32" s="676"/>
      <c r="AD32" s="676"/>
      <c r="AE32" s="676"/>
      <c r="AF32" s="676"/>
      <c r="AG32" s="676"/>
      <c r="AH32" s="676"/>
      <c r="AI32" s="676"/>
      <c r="AJ32" s="676"/>
      <c r="AK32" s="676"/>
    </row>
    <row r="33" spans="2:37" s="50" customFormat="1" ht="27" customHeight="1" x14ac:dyDescent="0.25">
      <c r="B33" s="71"/>
      <c r="C33" s="71"/>
      <c r="D33" s="71"/>
      <c r="E33" s="71"/>
      <c r="F33" s="71"/>
      <c r="G33" s="71"/>
      <c r="H33" s="71"/>
      <c r="I33" s="687"/>
      <c r="J33" s="687"/>
      <c r="K33" s="676"/>
      <c r="L33" s="676"/>
      <c r="M33" s="677"/>
      <c r="N33" s="677"/>
      <c r="O33" s="676"/>
      <c r="P33" s="676"/>
      <c r="Q33" s="676"/>
      <c r="R33" s="676"/>
      <c r="S33" s="676"/>
      <c r="T33" s="676"/>
      <c r="U33" s="676"/>
      <c r="V33" s="676"/>
      <c r="W33" s="676"/>
      <c r="X33" s="676"/>
      <c r="Y33" s="676"/>
      <c r="Z33" s="676"/>
      <c r="AA33" s="676"/>
      <c r="AB33" s="676"/>
      <c r="AC33" s="676"/>
      <c r="AD33" s="676"/>
      <c r="AE33" s="676"/>
      <c r="AF33" s="676"/>
      <c r="AG33" s="676"/>
      <c r="AH33" s="676"/>
      <c r="AI33" s="676"/>
      <c r="AJ33" s="676"/>
      <c r="AK33" s="676"/>
    </row>
    <row r="34" spans="2:37" s="50" customFormat="1" ht="27" customHeight="1" x14ac:dyDescent="0.25">
      <c r="B34" s="71"/>
      <c r="C34" s="71"/>
      <c r="D34" s="71"/>
      <c r="E34" s="71"/>
      <c r="F34" s="71"/>
      <c r="G34" s="71"/>
      <c r="H34" s="71"/>
      <c r="I34" s="687"/>
      <c r="J34" s="687"/>
      <c r="K34" s="676"/>
      <c r="L34" s="676"/>
      <c r="M34" s="677"/>
      <c r="N34" s="677"/>
      <c r="O34" s="676"/>
      <c r="P34" s="676"/>
      <c r="Q34" s="676"/>
      <c r="R34" s="676"/>
      <c r="S34" s="676"/>
      <c r="T34" s="676"/>
      <c r="U34" s="676"/>
      <c r="V34" s="676"/>
      <c r="W34" s="676"/>
      <c r="X34" s="676"/>
      <c r="Y34" s="676"/>
      <c r="Z34" s="676"/>
      <c r="AA34" s="676"/>
      <c r="AB34" s="676"/>
      <c r="AC34" s="676"/>
      <c r="AD34" s="676"/>
      <c r="AE34" s="676"/>
      <c r="AF34" s="676"/>
      <c r="AG34" s="676"/>
      <c r="AH34" s="676"/>
      <c r="AI34" s="676"/>
      <c r="AJ34" s="676"/>
      <c r="AK34" s="676"/>
    </row>
    <row r="35" spans="2:37" s="235" customFormat="1" x14ac:dyDescent="0.25">
      <c r="I35" s="683"/>
      <c r="J35" s="683"/>
      <c r="K35" s="683"/>
      <c r="L35" s="683"/>
      <c r="M35" s="684"/>
      <c r="N35" s="684"/>
      <c r="O35" s="683"/>
      <c r="P35" s="683"/>
      <c r="Q35" s="683"/>
      <c r="R35" s="683"/>
      <c r="S35" s="683"/>
      <c r="T35" s="683"/>
      <c r="U35" s="683"/>
      <c r="V35" s="683"/>
      <c r="W35" s="683"/>
      <c r="X35" s="683"/>
      <c r="Y35" s="683"/>
      <c r="Z35" s="683"/>
      <c r="AA35" s="683"/>
      <c r="AB35" s="683"/>
      <c r="AC35" s="683"/>
      <c r="AD35" s="683"/>
      <c r="AE35" s="683"/>
      <c r="AF35" s="683"/>
      <c r="AG35" s="683"/>
      <c r="AH35" s="683"/>
      <c r="AI35" s="683"/>
      <c r="AJ35" s="683"/>
      <c r="AK35" s="683"/>
    </row>
    <row r="36" spans="2:37" s="235" customFormat="1" x14ac:dyDescent="0.25">
      <c r="I36" s="683"/>
      <c r="J36" s="683"/>
      <c r="K36" s="683"/>
      <c r="L36" s="683"/>
      <c r="M36" s="684"/>
      <c r="N36" s="684"/>
      <c r="O36" s="683"/>
      <c r="P36" s="683"/>
      <c r="Q36" s="683"/>
      <c r="R36" s="683"/>
      <c r="S36" s="683"/>
      <c r="T36" s="683"/>
      <c r="U36" s="683"/>
      <c r="V36" s="683"/>
      <c r="W36" s="683"/>
      <c r="X36" s="683"/>
      <c r="Y36" s="683"/>
      <c r="Z36" s="683"/>
      <c r="AA36" s="683"/>
      <c r="AB36" s="683"/>
      <c r="AC36" s="683"/>
      <c r="AD36" s="683"/>
      <c r="AE36" s="683"/>
      <c r="AF36" s="683"/>
      <c r="AG36" s="683"/>
      <c r="AH36" s="683"/>
      <c r="AI36" s="683"/>
      <c r="AJ36" s="683"/>
      <c r="AK36" s="683"/>
    </row>
    <row r="37" spans="2:37" s="235" customFormat="1" x14ac:dyDescent="0.25">
      <c r="I37" s="683"/>
      <c r="J37" s="683"/>
      <c r="K37" s="683"/>
      <c r="L37" s="683"/>
      <c r="M37" s="684"/>
      <c r="N37" s="684"/>
      <c r="O37" s="683"/>
      <c r="P37" s="683"/>
      <c r="Q37" s="683"/>
      <c r="R37" s="683"/>
      <c r="S37" s="683"/>
      <c r="T37" s="683"/>
      <c r="U37" s="683"/>
      <c r="V37" s="683"/>
      <c r="W37" s="683"/>
      <c r="X37" s="683"/>
      <c r="Y37" s="683"/>
      <c r="Z37" s="683"/>
      <c r="AA37" s="683"/>
      <c r="AB37" s="683"/>
      <c r="AC37" s="683"/>
      <c r="AD37" s="683"/>
      <c r="AE37" s="683"/>
      <c r="AF37" s="683"/>
      <c r="AG37" s="683"/>
      <c r="AH37" s="683"/>
      <c r="AI37" s="683"/>
      <c r="AJ37" s="683"/>
      <c r="AK37" s="683"/>
    </row>
    <row r="38" spans="2:37" s="235" customFormat="1" x14ac:dyDescent="0.25">
      <c r="I38" s="683"/>
      <c r="J38" s="683"/>
      <c r="K38" s="683"/>
      <c r="L38" s="683"/>
      <c r="M38" s="684"/>
      <c r="N38" s="684"/>
      <c r="O38" s="683"/>
      <c r="P38" s="683"/>
      <c r="Q38" s="683"/>
      <c r="R38" s="683"/>
      <c r="S38" s="683"/>
      <c r="T38" s="683"/>
      <c r="U38" s="683"/>
      <c r="V38" s="683"/>
      <c r="W38" s="683"/>
      <c r="X38" s="683"/>
      <c r="Y38" s="683"/>
      <c r="Z38" s="683"/>
      <c r="AA38" s="683"/>
      <c r="AB38" s="683"/>
      <c r="AC38" s="683"/>
      <c r="AD38" s="683"/>
      <c r="AE38" s="683"/>
      <c r="AF38" s="683"/>
      <c r="AG38" s="683"/>
      <c r="AH38" s="683"/>
      <c r="AI38" s="683"/>
      <c r="AJ38" s="683"/>
      <c r="AK38" s="683"/>
    </row>
    <row r="39" spans="2:37" s="235" customFormat="1" x14ac:dyDescent="0.25">
      <c r="I39" s="683"/>
      <c r="J39" s="683"/>
      <c r="K39" s="683"/>
      <c r="L39" s="683"/>
      <c r="M39" s="684"/>
      <c r="N39" s="684"/>
      <c r="O39" s="683"/>
      <c r="P39" s="683"/>
      <c r="Q39" s="683"/>
      <c r="R39" s="683"/>
      <c r="S39" s="683"/>
      <c r="T39" s="683"/>
      <c r="U39" s="683"/>
      <c r="V39" s="683"/>
      <c r="W39" s="683"/>
      <c r="X39" s="683"/>
      <c r="Y39" s="683"/>
      <c r="Z39" s="683"/>
      <c r="AA39" s="683"/>
      <c r="AB39" s="683"/>
      <c r="AC39" s="683"/>
      <c r="AD39" s="683"/>
      <c r="AE39" s="683"/>
      <c r="AF39" s="683"/>
      <c r="AG39" s="683"/>
      <c r="AH39" s="683"/>
      <c r="AI39" s="683"/>
      <c r="AJ39" s="683"/>
      <c r="AK39" s="683"/>
    </row>
    <row r="40" spans="2:37" s="235" customFormat="1" x14ac:dyDescent="0.25">
      <c r="I40" s="683"/>
      <c r="J40" s="683"/>
      <c r="K40" s="683"/>
      <c r="L40" s="683"/>
      <c r="M40" s="684"/>
      <c r="N40" s="684"/>
      <c r="O40" s="683"/>
      <c r="P40" s="683"/>
      <c r="Q40" s="683"/>
      <c r="R40" s="683"/>
      <c r="S40" s="683"/>
      <c r="T40" s="683"/>
      <c r="U40" s="683"/>
      <c r="V40" s="683"/>
      <c r="W40" s="683"/>
      <c r="X40" s="683"/>
      <c r="Y40" s="683"/>
      <c r="Z40" s="683"/>
      <c r="AA40" s="683"/>
      <c r="AB40" s="683"/>
      <c r="AC40" s="683"/>
      <c r="AD40" s="683"/>
      <c r="AE40" s="683"/>
      <c r="AF40" s="683"/>
      <c r="AG40" s="683"/>
      <c r="AH40" s="683"/>
      <c r="AI40" s="683"/>
      <c r="AJ40" s="683"/>
      <c r="AK40" s="683"/>
    </row>
    <row r="41" spans="2:37" s="235" customFormat="1" x14ac:dyDescent="0.25">
      <c r="I41" s="683"/>
      <c r="J41" s="683"/>
      <c r="K41" s="683"/>
      <c r="L41" s="683"/>
      <c r="M41" s="684"/>
      <c r="N41" s="684"/>
      <c r="O41" s="683"/>
      <c r="P41" s="683"/>
      <c r="Q41" s="683"/>
      <c r="R41" s="683"/>
      <c r="S41" s="683"/>
      <c r="T41" s="683"/>
      <c r="U41" s="683"/>
      <c r="V41" s="683"/>
      <c r="W41" s="683"/>
      <c r="X41" s="683"/>
      <c r="Y41" s="683"/>
      <c r="Z41" s="683"/>
      <c r="AA41" s="683"/>
      <c r="AB41" s="683"/>
      <c r="AC41" s="683"/>
      <c r="AD41" s="683"/>
      <c r="AE41" s="683"/>
      <c r="AF41" s="683"/>
      <c r="AG41" s="683"/>
      <c r="AH41" s="683"/>
      <c r="AI41" s="683"/>
      <c r="AJ41" s="683"/>
      <c r="AK41" s="683"/>
    </row>
    <row r="42" spans="2:37" s="235" customFormat="1" x14ac:dyDescent="0.25">
      <c r="I42" s="683"/>
      <c r="J42" s="683"/>
      <c r="K42" s="683"/>
      <c r="L42" s="683"/>
      <c r="M42" s="684"/>
      <c r="N42" s="684"/>
      <c r="O42" s="683"/>
      <c r="P42" s="683"/>
      <c r="Q42" s="683"/>
      <c r="R42" s="683"/>
      <c r="S42" s="683"/>
      <c r="T42" s="683"/>
      <c r="U42" s="683"/>
      <c r="V42" s="683"/>
      <c r="W42" s="683"/>
      <c r="X42" s="683"/>
      <c r="Y42" s="683"/>
      <c r="Z42" s="683"/>
      <c r="AA42" s="683"/>
      <c r="AB42" s="683"/>
      <c r="AC42" s="683"/>
      <c r="AD42" s="683"/>
      <c r="AE42" s="683"/>
      <c r="AF42" s="683"/>
      <c r="AG42" s="683"/>
      <c r="AH42" s="683"/>
      <c r="AI42" s="683"/>
      <c r="AJ42" s="683"/>
      <c r="AK42" s="683"/>
    </row>
    <row r="43" spans="2:37" s="235" customFormat="1" x14ac:dyDescent="0.25">
      <c r="I43" s="683"/>
      <c r="J43" s="683"/>
      <c r="K43" s="683"/>
      <c r="L43" s="683"/>
      <c r="M43" s="684"/>
      <c r="N43" s="684"/>
      <c r="O43" s="683"/>
      <c r="P43" s="683"/>
      <c r="Q43" s="683"/>
      <c r="R43" s="683"/>
      <c r="S43" s="683"/>
      <c r="T43" s="683"/>
      <c r="U43" s="683"/>
      <c r="V43" s="683"/>
      <c r="W43" s="683"/>
      <c r="X43" s="683"/>
      <c r="Y43" s="683"/>
      <c r="Z43" s="683"/>
      <c r="AA43" s="683"/>
      <c r="AB43" s="683"/>
      <c r="AC43" s="683"/>
      <c r="AD43" s="683"/>
      <c r="AE43" s="683"/>
      <c r="AF43" s="683"/>
      <c r="AG43" s="683"/>
      <c r="AH43" s="683"/>
      <c r="AI43" s="683"/>
      <c r="AJ43" s="683"/>
      <c r="AK43" s="683"/>
    </row>
    <row r="44" spans="2:37" s="235" customFormat="1" x14ac:dyDescent="0.25">
      <c r="I44" s="683"/>
      <c r="J44" s="683"/>
      <c r="K44" s="683"/>
      <c r="L44" s="683"/>
      <c r="M44" s="684"/>
      <c r="N44" s="684"/>
      <c r="O44" s="683"/>
      <c r="P44" s="683"/>
      <c r="Q44" s="683"/>
      <c r="R44" s="683"/>
      <c r="S44" s="683"/>
      <c r="T44" s="683"/>
      <c r="U44" s="683"/>
      <c r="V44" s="683"/>
      <c r="W44" s="683"/>
      <c r="X44" s="683"/>
      <c r="Y44" s="683"/>
      <c r="Z44" s="683"/>
      <c r="AA44" s="683"/>
      <c r="AB44" s="683"/>
      <c r="AC44" s="683"/>
      <c r="AD44" s="683"/>
      <c r="AE44" s="683"/>
      <c r="AF44" s="683"/>
      <c r="AG44" s="683"/>
      <c r="AH44" s="683"/>
      <c r="AI44" s="683"/>
      <c r="AJ44" s="683"/>
      <c r="AK44" s="683"/>
    </row>
    <row r="45" spans="2:37" s="235" customFormat="1" x14ac:dyDescent="0.25">
      <c r="I45" s="683"/>
      <c r="J45" s="683"/>
      <c r="K45" s="683"/>
      <c r="L45" s="683"/>
      <c r="M45" s="684"/>
      <c r="N45" s="684"/>
      <c r="O45" s="683"/>
      <c r="P45" s="683"/>
      <c r="Q45" s="683"/>
      <c r="R45" s="683"/>
      <c r="S45" s="683"/>
      <c r="T45" s="683"/>
      <c r="U45" s="683"/>
      <c r="V45" s="683"/>
      <c r="W45" s="683"/>
      <c r="X45" s="683"/>
      <c r="Y45" s="683"/>
      <c r="Z45" s="683"/>
      <c r="AA45" s="683"/>
      <c r="AB45" s="683"/>
      <c r="AC45" s="683"/>
      <c r="AD45" s="683"/>
      <c r="AE45" s="683"/>
      <c r="AF45" s="683"/>
      <c r="AG45" s="683"/>
      <c r="AH45" s="683"/>
      <c r="AI45" s="683"/>
      <c r="AJ45" s="683"/>
      <c r="AK45" s="683"/>
    </row>
    <row r="46" spans="2:37" s="235" customFormat="1" x14ac:dyDescent="0.25">
      <c r="I46" s="683"/>
      <c r="J46" s="683"/>
      <c r="K46" s="683"/>
      <c r="L46" s="683"/>
      <c r="M46" s="684"/>
      <c r="N46" s="684"/>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row>
    <row r="47" spans="2:37" s="235" customFormat="1" x14ac:dyDescent="0.25">
      <c r="I47" s="683"/>
      <c r="J47" s="683"/>
      <c r="K47" s="683"/>
      <c r="L47" s="683"/>
      <c r="M47" s="684"/>
      <c r="N47" s="684"/>
      <c r="O47" s="683"/>
      <c r="P47" s="683"/>
      <c r="Q47" s="683"/>
      <c r="R47" s="683"/>
      <c r="S47" s="683"/>
      <c r="T47" s="683"/>
      <c r="U47" s="683"/>
      <c r="V47" s="683"/>
      <c r="W47" s="683"/>
      <c r="X47" s="683"/>
      <c r="Y47" s="683"/>
      <c r="Z47" s="683"/>
      <c r="AA47" s="683"/>
      <c r="AB47" s="683"/>
      <c r="AC47" s="683"/>
      <c r="AD47" s="683"/>
      <c r="AE47" s="683"/>
      <c r="AF47" s="683"/>
      <c r="AG47" s="683"/>
      <c r="AH47" s="683"/>
      <c r="AI47" s="683"/>
      <c r="AJ47" s="683"/>
      <c r="AK47" s="683"/>
    </row>
    <row r="48" spans="2:37" s="235" customFormat="1" x14ac:dyDescent="0.25">
      <c r="I48" s="683"/>
      <c r="J48" s="683"/>
      <c r="K48" s="683"/>
      <c r="L48" s="683"/>
      <c r="M48" s="684"/>
      <c r="N48" s="684"/>
      <c r="O48" s="683"/>
      <c r="P48" s="683"/>
      <c r="Q48" s="683"/>
      <c r="R48" s="683"/>
      <c r="S48" s="683"/>
      <c r="T48" s="683"/>
      <c r="U48" s="683"/>
      <c r="V48" s="683"/>
      <c r="W48" s="683"/>
      <c r="X48" s="683"/>
      <c r="Y48" s="683"/>
      <c r="Z48" s="683"/>
      <c r="AA48" s="683"/>
      <c r="AB48" s="683"/>
      <c r="AC48" s="683"/>
      <c r="AD48" s="683"/>
      <c r="AE48" s="683"/>
      <c r="AF48" s="683"/>
      <c r="AG48" s="683"/>
      <c r="AH48" s="683"/>
      <c r="AI48" s="683"/>
      <c r="AJ48" s="683"/>
      <c r="AK48" s="683"/>
    </row>
    <row r="49" spans="9:37" s="235" customFormat="1" x14ac:dyDescent="0.25">
      <c r="I49" s="683"/>
      <c r="J49" s="683"/>
      <c r="K49" s="683"/>
      <c r="L49" s="683"/>
      <c r="M49" s="684"/>
      <c r="N49" s="684"/>
      <c r="O49" s="683"/>
      <c r="P49" s="683"/>
      <c r="Q49" s="683"/>
      <c r="R49" s="683"/>
      <c r="S49" s="683"/>
      <c r="T49" s="683"/>
      <c r="U49" s="683"/>
      <c r="V49" s="683"/>
      <c r="W49" s="683"/>
      <c r="X49" s="683"/>
      <c r="Y49" s="683"/>
      <c r="Z49" s="683"/>
      <c r="AA49" s="683"/>
      <c r="AB49" s="683"/>
      <c r="AC49" s="683"/>
      <c r="AD49" s="683"/>
      <c r="AE49" s="683"/>
      <c r="AF49" s="683"/>
      <c r="AG49" s="683"/>
      <c r="AH49" s="683"/>
      <c r="AI49" s="683"/>
      <c r="AJ49" s="683"/>
      <c r="AK49" s="683"/>
    </row>
    <row r="50" spans="9:37" s="235" customFormat="1" x14ac:dyDescent="0.25">
      <c r="I50" s="683"/>
      <c r="J50" s="683"/>
      <c r="K50" s="683"/>
      <c r="L50" s="683"/>
      <c r="M50" s="684"/>
      <c r="N50" s="684"/>
      <c r="O50" s="683"/>
      <c r="P50" s="683"/>
      <c r="Q50" s="683"/>
      <c r="R50" s="683"/>
      <c r="S50" s="683"/>
      <c r="T50" s="683"/>
      <c r="U50" s="683"/>
      <c r="V50" s="683"/>
      <c r="W50" s="683"/>
      <c r="X50" s="683"/>
      <c r="Y50" s="683"/>
      <c r="Z50" s="683"/>
      <c r="AA50" s="683"/>
      <c r="AB50" s="683"/>
      <c r="AC50" s="683"/>
      <c r="AD50" s="683"/>
      <c r="AE50" s="683"/>
      <c r="AF50" s="683"/>
      <c r="AG50" s="683"/>
      <c r="AH50" s="683"/>
      <c r="AI50" s="683"/>
      <c r="AJ50" s="683"/>
      <c r="AK50" s="683"/>
    </row>
    <row r="51" spans="9:37" s="235" customFormat="1" x14ac:dyDescent="0.25">
      <c r="I51" s="683"/>
      <c r="J51" s="683"/>
      <c r="K51" s="683"/>
      <c r="L51" s="683"/>
      <c r="M51" s="684"/>
      <c r="N51" s="684"/>
      <c r="O51" s="683"/>
      <c r="P51" s="683"/>
      <c r="Q51" s="683"/>
      <c r="R51" s="683"/>
      <c r="S51" s="683"/>
      <c r="T51" s="683"/>
      <c r="U51" s="683"/>
      <c r="V51" s="683"/>
      <c r="W51" s="683"/>
      <c r="X51" s="683"/>
      <c r="Y51" s="683"/>
      <c r="Z51" s="683"/>
      <c r="AA51" s="683"/>
      <c r="AB51" s="683"/>
      <c r="AC51" s="683"/>
      <c r="AD51" s="683"/>
      <c r="AE51" s="683"/>
      <c r="AF51" s="683"/>
      <c r="AG51" s="683"/>
      <c r="AH51" s="683"/>
      <c r="AI51" s="683"/>
      <c r="AJ51" s="683"/>
      <c r="AK51" s="683"/>
    </row>
    <row r="52" spans="9:37" s="235" customFormat="1" x14ac:dyDescent="0.25">
      <c r="I52" s="683"/>
      <c r="J52" s="683"/>
      <c r="K52" s="683"/>
      <c r="L52" s="683"/>
      <c r="M52" s="684"/>
      <c r="N52" s="684"/>
      <c r="O52" s="683"/>
      <c r="P52" s="683"/>
      <c r="Q52" s="683"/>
      <c r="R52" s="683"/>
      <c r="S52" s="683"/>
      <c r="T52" s="683"/>
      <c r="U52" s="683"/>
      <c r="V52" s="683"/>
      <c r="W52" s="683"/>
      <c r="X52" s="683"/>
      <c r="Y52" s="683"/>
      <c r="Z52" s="683"/>
      <c r="AA52" s="683"/>
      <c r="AB52" s="683"/>
      <c r="AC52" s="683"/>
      <c r="AD52" s="683"/>
      <c r="AE52" s="683"/>
      <c r="AF52" s="683"/>
      <c r="AG52" s="683"/>
      <c r="AH52" s="683"/>
      <c r="AI52" s="683"/>
      <c r="AJ52" s="683"/>
      <c r="AK52" s="683"/>
    </row>
    <row r="53" spans="9:37" s="235" customFormat="1" x14ac:dyDescent="0.25">
      <c r="I53" s="683"/>
      <c r="J53" s="683"/>
      <c r="K53" s="683"/>
      <c r="L53" s="683"/>
      <c r="M53" s="684"/>
      <c r="N53" s="684"/>
      <c r="O53" s="683"/>
      <c r="P53" s="683"/>
      <c r="Q53" s="683"/>
      <c r="R53" s="683"/>
      <c r="S53" s="683"/>
      <c r="T53" s="683"/>
      <c r="U53" s="683"/>
      <c r="V53" s="683"/>
      <c r="W53" s="683"/>
      <c r="X53" s="683"/>
      <c r="Y53" s="683"/>
      <c r="Z53" s="683"/>
      <c r="AA53" s="683"/>
      <c r="AB53" s="683"/>
      <c r="AC53" s="683"/>
      <c r="AD53" s="683"/>
      <c r="AE53" s="683"/>
      <c r="AF53" s="683"/>
      <c r="AG53" s="683"/>
      <c r="AH53" s="683"/>
      <c r="AI53" s="683"/>
      <c r="AJ53" s="683"/>
      <c r="AK53" s="683"/>
    </row>
    <row r="54" spans="9:37" s="235" customFormat="1" x14ac:dyDescent="0.25">
      <c r="I54" s="683"/>
      <c r="J54" s="683"/>
      <c r="K54" s="683"/>
      <c r="L54" s="683"/>
      <c r="M54" s="684"/>
      <c r="N54" s="684"/>
      <c r="O54" s="683"/>
      <c r="P54" s="683"/>
      <c r="Q54" s="683"/>
      <c r="R54" s="683"/>
      <c r="S54" s="683"/>
      <c r="T54" s="683"/>
      <c r="U54" s="683"/>
      <c r="V54" s="683"/>
      <c r="W54" s="683"/>
      <c r="X54" s="683"/>
      <c r="Y54" s="683"/>
      <c r="Z54" s="683"/>
      <c r="AA54" s="683"/>
      <c r="AB54" s="683"/>
      <c r="AC54" s="683"/>
      <c r="AD54" s="683"/>
      <c r="AE54" s="683"/>
      <c r="AF54" s="683"/>
      <c r="AG54" s="683"/>
      <c r="AH54" s="683"/>
      <c r="AI54" s="683"/>
      <c r="AJ54" s="683"/>
      <c r="AK54" s="683"/>
    </row>
    <row r="55" spans="9:37" s="235" customFormat="1" x14ac:dyDescent="0.25">
      <c r="I55" s="683"/>
      <c r="J55" s="683"/>
      <c r="K55" s="683"/>
      <c r="L55" s="683"/>
      <c r="M55" s="684"/>
      <c r="N55" s="684"/>
      <c r="O55" s="683"/>
      <c r="P55" s="683"/>
      <c r="Q55" s="683"/>
      <c r="R55" s="683"/>
      <c r="S55" s="683"/>
      <c r="T55" s="683"/>
      <c r="U55" s="683"/>
      <c r="V55" s="683"/>
      <c r="W55" s="683"/>
      <c r="X55" s="683"/>
      <c r="Y55" s="683"/>
      <c r="Z55" s="683"/>
      <c r="AA55" s="683"/>
      <c r="AB55" s="683"/>
      <c r="AC55" s="683"/>
      <c r="AD55" s="683"/>
      <c r="AE55" s="683"/>
      <c r="AF55" s="683"/>
      <c r="AG55" s="683"/>
      <c r="AH55" s="683"/>
      <c r="AI55" s="683"/>
      <c r="AJ55" s="683"/>
      <c r="AK55" s="683"/>
    </row>
    <row r="56" spans="9:37" s="235" customFormat="1" x14ac:dyDescent="0.25">
      <c r="I56" s="683"/>
      <c r="J56" s="683"/>
      <c r="K56" s="683"/>
      <c r="L56" s="683"/>
      <c r="M56" s="684"/>
      <c r="N56" s="684"/>
      <c r="O56" s="683"/>
      <c r="P56" s="683"/>
      <c r="Q56" s="683"/>
      <c r="R56" s="683"/>
      <c r="S56" s="683"/>
      <c r="T56" s="683"/>
      <c r="U56" s="683"/>
      <c r="V56" s="683"/>
      <c r="W56" s="683"/>
      <c r="X56" s="683"/>
      <c r="Y56" s="683"/>
      <c r="Z56" s="683"/>
      <c r="AA56" s="683"/>
      <c r="AB56" s="683"/>
      <c r="AC56" s="683"/>
      <c r="AD56" s="683"/>
      <c r="AE56" s="683"/>
      <c r="AF56" s="683"/>
      <c r="AG56" s="683"/>
      <c r="AH56" s="683"/>
      <c r="AI56" s="683"/>
      <c r="AJ56" s="683"/>
      <c r="AK56" s="683"/>
    </row>
    <row r="57" spans="9:37" s="235" customFormat="1" x14ac:dyDescent="0.25">
      <c r="I57" s="683"/>
      <c r="J57" s="683"/>
      <c r="K57" s="683"/>
      <c r="L57" s="683"/>
      <c r="M57" s="684"/>
      <c r="N57" s="684"/>
      <c r="O57" s="683"/>
      <c r="P57" s="683"/>
      <c r="Q57" s="683"/>
      <c r="R57" s="683"/>
      <c r="S57" s="683"/>
      <c r="T57" s="683"/>
      <c r="U57" s="683"/>
      <c r="V57" s="683"/>
      <c r="W57" s="683"/>
      <c r="X57" s="683"/>
      <c r="Y57" s="683"/>
      <c r="Z57" s="683"/>
      <c r="AA57" s="683"/>
      <c r="AB57" s="683"/>
      <c r="AC57" s="683"/>
      <c r="AD57" s="683"/>
      <c r="AE57" s="683"/>
      <c r="AF57" s="683"/>
      <c r="AG57" s="683"/>
      <c r="AH57" s="683"/>
      <c r="AI57" s="683"/>
      <c r="AJ57" s="683"/>
      <c r="AK57" s="683"/>
    </row>
    <row r="58" spans="9:37" s="235" customFormat="1" x14ac:dyDescent="0.25">
      <c r="I58" s="683"/>
      <c r="J58" s="683"/>
      <c r="K58" s="683"/>
      <c r="L58" s="683"/>
      <c r="M58" s="684"/>
      <c r="N58" s="684"/>
      <c r="O58" s="683"/>
      <c r="P58" s="683"/>
      <c r="Q58" s="683"/>
      <c r="R58" s="683"/>
      <c r="S58" s="683"/>
      <c r="T58" s="683"/>
      <c r="U58" s="683"/>
      <c r="V58" s="683"/>
      <c r="W58" s="683"/>
      <c r="X58" s="683"/>
      <c r="Y58" s="683"/>
      <c r="Z58" s="683"/>
      <c r="AA58" s="683"/>
      <c r="AB58" s="683"/>
      <c r="AC58" s="683"/>
      <c r="AD58" s="683"/>
      <c r="AE58" s="683"/>
      <c r="AF58" s="683"/>
      <c r="AG58" s="683"/>
      <c r="AH58" s="683"/>
      <c r="AI58" s="683"/>
      <c r="AJ58" s="683"/>
      <c r="AK58" s="683"/>
    </row>
    <row r="59" spans="9:37" s="235" customFormat="1" x14ac:dyDescent="0.25">
      <c r="I59" s="683"/>
      <c r="J59" s="683"/>
      <c r="K59" s="683"/>
      <c r="L59" s="683"/>
      <c r="M59" s="684"/>
      <c r="N59" s="684"/>
      <c r="O59" s="683"/>
      <c r="P59" s="683"/>
      <c r="Q59" s="683"/>
      <c r="R59" s="683"/>
      <c r="S59" s="683"/>
      <c r="T59" s="683"/>
      <c r="U59" s="683"/>
      <c r="V59" s="683"/>
      <c r="W59" s="683"/>
      <c r="X59" s="683"/>
      <c r="Y59" s="683"/>
      <c r="Z59" s="683"/>
      <c r="AA59" s="683"/>
      <c r="AB59" s="683"/>
      <c r="AC59" s="683"/>
      <c r="AD59" s="683"/>
      <c r="AE59" s="683"/>
      <c r="AF59" s="683"/>
      <c r="AG59" s="683"/>
      <c r="AH59" s="683"/>
      <c r="AI59" s="683"/>
      <c r="AJ59" s="683"/>
      <c r="AK59" s="683"/>
    </row>
    <row r="60" spans="9:37" s="235" customFormat="1" x14ac:dyDescent="0.25">
      <c r="I60" s="683"/>
      <c r="J60" s="683"/>
      <c r="K60" s="683"/>
      <c r="L60" s="683"/>
      <c r="M60" s="684"/>
      <c r="N60" s="684"/>
      <c r="O60" s="683"/>
      <c r="P60" s="683"/>
      <c r="Q60" s="683"/>
      <c r="R60" s="683"/>
      <c r="S60" s="683"/>
      <c r="T60" s="683"/>
      <c r="U60" s="683"/>
      <c r="V60" s="683"/>
      <c r="W60" s="683"/>
      <c r="X60" s="683"/>
      <c r="Y60" s="683"/>
      <c r="Z60" s="683"/>
      <c r="AA60" s="683"/>
      <c r="AB60" s="683"/>
      <c r="AC60" s="683"/>
      <c r="AD60" s="683"/>
      <c r="AE60" s="683"/>
      <c r="AF60" s="683"/>
      <c r="AG60" s="683"/>
      <c r="AH60" s="683"/>
      <c r="AI60" s="683"/>
      <c r="AJ60" s="683"/>
      <c r="AK60" s="683"/>
    </row>
    <row r="61" spans="9:37" s="235" customFormat="1" x14ac:dyDescent="0.25">
      <c r="I61" s="683"/>
      <c r="J61" s="683"/>
      <c r="K61" s="683"/>
      <c r="L61" s="683"/>
      <c r="M61" s="684"/>
      <c r="N61" s="684"/>
      <c r="O61" s="683"/>
      <c r="P61" s="683"/>
      <c r="Q61" s="683"/>
      <c r="R61" s="683"/>
      <c r="S61" s="683"/>
      <c r="T61" s="683"/>
      <c r="U61" s="683"/>
      <c r="V61" s="683"/>
      <c r="W61" s="683"/>
      <c r="X61" s="683"/>
      <c r="Y61" s="683"/>
      <c r="Z61" s="683"/>
      <c r="AA61" s="683"/>
      <c r="AB61" s="683"/>
      <c r="AC61" s="683"/>
      <c r="AD61" s="683"/>
      <c r="AE61" s="683"/>
      <c r="AF61" s="683"/>
      <c r="AG61" s="683"/>
      <c r="AH61" s="683"/>
      <c r="AI61" s="683"/>
      <c r="AJ61" s="683"/>
      <c r="AK61" s="683"/>
    </row>
    <row r="62" spans="9:37" s="235" customFormat="1" x14ac:dyDescent="0.25">
      <c r="I62" s="683"/>
      <c r="J62" s="683"/>
      <c r="K62" s="683"/>
      <c r="L62" s="683"/>
      <c r="M62" s="684"/>
      <c r="N62" s="684"/>
      <c r="O62" s="683"/>
      <c r="P62" s="683"/>
      <c r="Q62" s="683"/>
      <c r="R62" s="683"/>
      <c r="S62" s="683"/>
      <c r="T62" s="683"/>
      <c r="U62" s="683"/>
      <c r="V62" s="683"/>
      <c r="W62" s="683"/>
      <c r="X62" s="683"/>
      <c r="Y62" s="683"/>
      <c r="Z62" s="683"/>
      <c r="AA62" s="683"/>
      <c r="AB62" s="683"/>
      <c r="AC62" s="683"/>
      <c r="AD62" s="683"/>
      <c r="AE62" s="683"/>
      <c r="AF62" s="683"/>
      <c r="AG62" s="683"/>
      <c r="AH62" s="683"/>
      <c r="AI62" s="683"/>
      <c r="AJ62" s="683"/>
      <c r="AK62" s="683"/>
    </row>
    <row r="63" spans="9:37" s="235" customFormat="1" x14ac:dyDescent="0.25">
      <c r="I63" s="683"/>
      <c r="J63" s="683"/>
      <c r="K63" s="683"/>
      <c r="L63" s="683"/>
      <c r="M63" s="684"/>
      <c r="N63" s="684"/>
      <c r="O63" s="683"/>
      <c r="P63" s="683"/>
      <c r="Q63" s="683"/>
      <c r="R63" s="683"/>
      <c r="S63" s="683"/>
      <c r="T63" s="683"/>
      <c r="U63" s="683"/>
      <c r="V63" s="683"/>
      <c r="W63" s="683"/>
      <c r="X63" s="683"/>
      <c r="Y63" s="683"/>
      <c r="Z63" s="683"/>
      <c r="AA63" s="683"/>
      <c r="AB63" s="683"/>
      <c r="AC63" s="683"/>
      <c r="AD63" s="683"/>
      <c r="AE63" s="683"/>
      <c r="AF63" s="683"/>
      <c r="AG63" s="683"/>
      <c r="AH63" s="683"/>
      <c r="AI63" s="683"/>
      <c r="AJ63" s="683"/>
      <c r="AK63" s="683"/>
    </row>
    <row r="64" spans="9:37" s="235" customFormat="1" x14ac:dyDescent="0.25">
      <c r="I64" s="683"/>
      <c r="J64" s="683"/>
      <c r="K64" s="683"/>
      <c r="L64" s="683"/>
      <c r="M64" s="684"/>
      <c r="N64" s="684"/>
      <c r="O64" s="683"/>
      <c r="P64" s="683"/>
      <c r="Q64" s="683"/>
      <c r="R64" s="683"/>
      <c r="S64" s="683"/>
      <c r="T64" s="683"/>
      <c r="U64" s="683"/>
      <c r="V64" s="683"/>
      <c r="W64" s="683"/>
      <c r="X64" s="683"/>
      <c r="Y64" s="683"/>
      <c r="Z64" s="683"/>
      <c r="AA64" s="683"/>
      <c r="AB64" s="683"/>
      <c r="AC64" s="683"/>
      <c r="AD64" s="683"/>
      <c r="AE64" s="683"/>
      <c r="AF64" s="683"/>
      <c r="AG64" s="683"/>
      <c r="AH64" s="683"/>
      <c r="AI64" s="683"/>
      <c r="AJ64" s="683"/>
      <c r="AK64" s="683"/>
    </row>
    <row r="65" spans="9:37" s="235" customFormat="1" x14ac:dyDescent="0.25">
      <c r="I65" s="683"/>
      <c r="J65" s="683"/>
      <c r="K65" s="683"/>
      <c r="L65" s="683"/>
      <c r="M65" s="684"/>
      <c r="N65" s="684"/>
      <c r="O65" s="683"/>
      <c r="P65" s="683"/>
      <c r="Q65" s="683"/>
      <c r="R65" s="683"/>
      <c r="S65" s="683"/>
      <c r="T65" s="683"/>
      <c r="U65" s="683"/>
      <c r="V65" s="683"/>
      <c r="W65" s="683"/>
      <c r="X65" s="683"/>
      <c r="Y65" s="683"/>
      <c r="Z65" s="683"/>
      <c r="AA65" s="683"/>
      <c r="AB65" s="683"/>
      <c r="AC65" s="683"/>
      <c r="AD65" s="683"/>
      <c r="AE65" s="683"/>
      <c r="AF65" s="683"/>
      <c r="AG65" s="683"/>
      <c r="AH65" s="683"/>
      <c r="AI65" s="683"/>
      <c r="AJ65" s="683"/>
      <c r="AK65" s="683"/>
    </row>
    <row r="66" spans="9:37" s="235" customFormat="1" x14ac:dyDescent="0.25">
      <c r="I66" s="683"/>
      <c r="J66" s="683"/>
      <c r="K66" s="683"/>
      <c r="L66" s="683"/>
      <c r="M66" s="684"/>
      <c r="N66" s="684"/>
      <c r="O66" s="683"/>
      <c r="P66" s="683"/>
      <c r="Q66" s="683"/>
      <c r="R66" s="683"/>
      <c r="S66" s="683"/>
      <c r="T66" s="683"/>
      <c r="U66" s="683"/>
      <c r="V66" s="683"/>
      <c r="W66" s="683"/>
      <c r="X66" s="683"/>
      <c r="Y66" s="683"/>
      <c r="Z66" s="683"/>
      <c r="AA66" s="683"/>
      <c r="AB66" s="683"/>
      <c r="AC66" s="683"/>
      <c r="AD66" s="683"/>
      <c r="AE66" s="683"/>
      <c r="AF66" s="683"/>
      <c r="AG66" s="683"/>
      <c r="AH66" s="683"/>
      <c r="AI66" s="683"/>
      <c r="AJ66" s="683"/>
      <c r="AK66" s="683"/>
    </row>
    <row r="67" spans="9:37" s="235" customFormat="1" x14ac:dyDescent="0.25">
      <c r="I67" s="683"/>
      <c r="J67" s="683"/>
      <c r="K67" s="683"/>
      <c r="L67" s="683"/>
      <c r="M67" s="684"/>
      <c r="N67" s="684"/>
      <c r="O67" s="683"/>
      <c r="P67" s="683"/>
      <c r="Q67" s="683"/>
      <c r="R67" s="683"/>
      <c r="S67" s="683"/>
      <c r="T67" s="683"/>
      <c r="U67" s="683"/>
      <c r="V67" s="683"/>
      <c r="W67" s="683"/>
      <c r="X67" s="683"/>
      <c r="Y67" s="683"/>
      <c r="Z67" s="683"/>
      <c r="AA67" s="683"/>
      <c r="AB67" s="683"/>
      <c r="AC67" s="683"/>
      <c r="AD67" s="683"/>
      <c r="AE67" s="683"/>
      <c r="AF67" s="683"/>
      <c r="AG67" s="683"/>
      <c r="AH67" s="683"/>
      <c r="AI67" s="683"/>
      <c r="AJ67" s="683"/>
      <c r="AK67" s="683"/>
    </row>
    <row r="68" spans="9:37" s="235" customFormat="1" x14ac:dyDescent="0.25">
      <c r="I68" s="683"/>
      <c r="J68" s="683"/>
      <c r="K68" s="683"/>
      <c r="L68" s="683"/>
      <c r="M68" s="684"/>
      <c r="N68" s="684"/>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3"/>
    </row>
    <row r="69" spans="9:37" s="235" customFormat="1" x14ac:dyDescent="0.25">
      <c r="I69" s="683"/>
      <c r="J69" s="683"/>
      <c r="K69" s="683"/>
      <c r="L69" s="683"/>
      <c r="M69" s="684"/>
      <c r="N69" s="684"/>
      <c r="O69" s="683"/>
      <c r="P69" s="683"/>
      <c r="Q69" s="683"/>
      <c r="R69" s="683"/>
      <c r="S69" s="683"/>
      <c r="T69" s="683"/>
      <c r="U69" s="683"/>
      <c r="V69" s="683"/>
      <c r="W69" s="683"/>
      <c r="X69" s="683"/>
      <c r="Y69" s="683"/>
      <c r="Z69" s="683"/>
      <c r="AA69" s="683"/>
      <c r="AB69" s="683"/>
      <c r="AC69" s="683"/>
      <c r="AD69" s="683"/>
      <c r="AE69" s="683"/>
      <c r="AF69" s="683"/>
      <c r="AG69" s="683"/>
      <c r="AH69" s="683"/>
      <c r="AI69" s="683"/>
      <c r="AJ69" s="683"/>
      <c r="AK69" s="683"/>
    </row>
    <row r="70" spans="9:37" s="235" customFormat="1" x14ac:dyDescent="0.25">
      <c r="I70" s="683"/>
      <c r="J70" s="683"/>
      <c r="K70" s="683"/>
      <c r="L70" s="683"/>
      <c r="M70" s="684"/>
      <c r="N70" s="684"/>
      <c r="O70" s="683"/>
      <c r="P70" s="683"/>
      <c r="Q70" s="683"/>
      <c r="R70" s="683"/>
      <c r="S70" s="683"/>
      <c r="T70" s="683"/>
      <c r="U70" s="683"/>
      <c r="V70" s="683"/>
      <c r="W70" s="683"/>
      <c r="X70" s="683"/>
      <c r="Y70" s="683"/>
      <c r="Z70" s="683"/>
      <c r="AA70" s="683"/>
      <c r="AB70" s="683"/>
      <c r="AC70" s="683"/>
      <c r="AD70" s="683"/>
      <c r="AE70" s="683"/>
      <c r="AF70" s="683"/>
      <c r="AG70" s="683"/>
      <c r="AH70" s="683"/>
      <c r="AI70" s="683"/>
      <c r="AJ70" s="683"/>
      <c r="AK70" s="683"/>
    </row>
    <row r="71" spans="9:37" s="235" customFormat="1" x14ac:dyDescent="0.25">
      <c r="I71" s="683"/>
      <c r="J71" s="683"/>
      <c r="K71" s="683"/>
      <c r="L71" s="683"/>
      <c r="M71" s="684"/>
      <c r="N71" s="684"/>
      <c r="O71" s="683"/>
      <c r="P71" s="683"/>
      <c r="Q71" s="683"/>
      <c r="R71" s="683"/>
      <c r="S71" s="683"/>
      <c r="T71" s="683"/>
      <c r="U71" s="683"/>
      <c r="V71" s="683"/>
      <c r="W71" s="683"/>
      <c r="X71" s="683"/>
      <c r="Y71" s="683"/>
      <c r="Z71" s="683"/>
      <c r="AA71" s="683"/>
      <c r="AB71" s="683"/>
      <c r="AC71" s="683"/>
      <c r="AD71" s="683"/>
      <c r="AE71" s="683"/>
      <c r="AF71" s="683"/>
      <c r="AG71" s="683"/>
      <c r="AH71" s="683"/>
      <c r="AI71" s="683"/>
      <c r="AJ71" s="683"/>
      <c r="AK71" s="683"/>
    </row>
    <row r="72" spans="9:37" s="235" customFormat="1" x14ac:dyDescent="0.25">
      <c r="I72" s="683"/>
      <c r="J72" s="683"/>
      <c r="K72" s="683"/>
      <c r="L72" s="683"/>
      <c r="M72" s="684"/>
      <c r="N72" s="684"/>
      <c r="O72" s="683"/>
      <c r="P72" s="683"/>
      <c r="Q72" s="683"/>
      <c r="R72" s="683"/>
      <c r="S72" s="683"/>
      <c r="T72" s="683"/>
      <c r="U72" s="683"/>
      <c r="V72" s="683"/>
      <c r="W72" s="683"/>
      <c r="X72" s="683"/>
      <c r="Y72" s="683"/>
      <c r="Z72" s="683"/>
      <c r="AA72" s="683"/>
      <c r="AB72" s="683"/>
      <c r="AC72" s="683"/>
      <c r="AD72" s="683"/>
      <c r="AE72" s="683"/>
      <c r="AF72" s="683"/>
      <c r="AG72" s="683"/>
      <c r="AH72" s="683"/>
      <c r="AI72" s="683"/>
      <c r="AJ72" s="683"/>
      <c r="AK72" s="683"/>
    </row>
    <row r="73" spans="9:37" s="235" customFormat="1" x14ac:dyDescent="0.25">
      <c r="I73" s="683"/>
      <c r="J73" s="683"/>
      <c r="K73" s="683"/>
      <c r="L73" s="683"/>
      <c r="M73" s="684"/>
      <c r="N73" s="684"/>
      <c r="O73" s="683"/>
      <c r="P73" s="683"/>
      <c r="Q73" s="683"/>
      <c r="R73" s="683"/>
      <c r="S73" s="683"/>
      <c r="T73" s="683"/>
      <c r="U73" s="683"/>
      <c r="V73" s="683"/>
      <c r="W73" s="683"/>
      <c r="X73" s="683"/>
      <c r="Y73" s="683"/>
      <c r="Z73" s="683"/>
      <c r="AA73" s="683"/>
      <c r="AB73" s="683"/>
      <c r="AC73" s="683"/>
      <c r="AD73" s="683"/>
      <c r="AE73" s="683"/>
      <c r="AF73" s="683"/>
      <c r="AG73" s="683"/>
      <c r="AH73" s="683"/>
      <c r="AI73" s="683"/>
      <c r="AJ73" s="683"/>
      <c r="AK73" s="683"/>
    </row>
    <row r="74" spans="9:37" s="235" customFormat="1" x14ac:dyDescent="0.25">
      <c r="I74" s="683"/>
      <c r="J74" s="683"/>
      <c r="K74" s="683"/>
      <c r="L74" s="683"/>
      <c r="M74" s="684"/>
      <c r="N74" s="684"/>
      <c r="O74" s="683"/>
      <c r="P74" s="683"/>
      <c r="Q74" s="683"/>
      <c r="R74" s="683"/>
      <c r="S74" s="683"/>
      <c r="T74" s="683"/>
      <c r="U74" s="683"/>
      <c r="V74" s="683"/>
      <c r="W74" s="683"/>
      <c r="X74" s="683"/>
      <c r="Y74" s="683"/>
      <c r="Z74" s="683"/>
      <c r="AA74" s="683"/>
      <c r="AB74" s="683"/>
      <c r="AC74" s="683"/>
      <c r="AD74" s="683"/>
      <c r="AE74" s="683"/>
      <c r="AF74" s="683"/>
      <c r="AG74" s="683"/>
      <c r="AH74" s="683"/>
      <c r="AI74" s="683"/>
      <c r="AJ74" s="683"/>
      <c r="AK74" s="683"/>
    </row>
    <row r="75" spans="9:37" s="235" customFormat="1" x14ac:dyDescent="0.25">
      <c r="I75" s="683"/>
      <c r="J75" s="683"/>
      <c r="K75" s="683"/>
      <c r="L75" s="683"/>
      <c r="M75" s="684"/>
      <c r="N75" s="684"/>
      <c r="O75" s="683"/>
      <c r="P75" s="683"/>
      <c r="Q75" s="683"/>
      <c r="R75" s="683"/>
      <c r="S75" s="683"/>
      <c r="T75" s="683"/>
      <c r="U75" s="683"/>
      <c r="V75" s="683"/>
      <c r="W75" s="683"/>
      <c r="X75" s="683"/>
      <c r="Y75" s="683"/>
      <c r="Z75" s="683"/>
      <c r="AA75" s="683"/>
      <c r="AB75" s="683"/>
      <c r="AC75" s="683"/>
      <c r="AD75" s="683"/>
      <c r="AE75" s="683"/>
      <c r="AF75" s="683"/>
      <c r="AG75" s="683"/>
      <c r="AH75" s="683"/>
      <c r="AI75" s="683"/>
      <c r="AJ75" s="683"/>
      <c r="AK75" s="683"/>
    </row>
    <row r="76" spans="9:37" s="235" customFormat="1" x14ac:dyDescent="0.25">
      <c r="I76" s="683"/>
      <c r="J76" s="683"/>
      <c r="K76" s="683"/>
      <c r="L76" s="683"/>
      <c r="M76" s="684"/>
      <c r="N76" s="684"/>
      <c r="O76" s="683"/>
      <c r="P76" s="683"/>
      <c r="Q76" s="683"/>
      <c r="R76" s="683"/>
      <c r="S76" s="683"/>
      <c r="T76" s="683"/>
      <c r="U76" s="683"/>
      <c r="V76" s="683"/>
      <c r="W76" s="683"/>
      <c r="X76" s="683"/>
      <c r="Y76" s="683"/>
      <c r="Z76" s="683"/>
      <c r="AA76" s="683"/>
      <c r="AB76" s="683"/>
      <c r="AC76" s="683"/>
      <c r="AD76" s="683"/>
      <c r="AE76" s="683"/>
      <c r="AF76" s="683"/>
      <c r="AG76" s="683"/>
      <c r="AH76" s="683"/>
      <c r="AI76" s="683"/>
      <c r="AJ76" s="683"/>
      <c r="AK76" s="683"/>
    </row>
    <row r="77" spans="9:37" s="235" customFormat="1" x14ac:dyDescent="0.25">
      <c r="I77" s="683"/>
      <c r="J77" s="683"/>
      <c r="K77" s="683"/>
      <c r="L77" s="683"/>
      <c r="M77" s="684"/>
      <c r="N77" s="684"/>
      <c r="O77" s="683"/>
      <c r="P77" s="683"/>
      <c r="Q77" s="683"/>
      <c r="R77" s="683"/>
      <c r="S77" s="683"/>
      <c r="T77" s="683"/>
      <c r="U77" s="683"/>
      <c r="V77" s="683"/>
      <c r="W77" s="683"/>
      <c r="X77" s="683"/>
      <c r="Y77" s="683"/>
      <c r="Z77" s="683"/>
      <c r="AA77" s="683"/>
      <c r="AB77" s="683"/>
      <c r="AC77" s="683"/>
      <c r="AD77" s="683"/>
      <c r="AE77" s="683"/>
      <c r="AF77" s="683"/>
      <c r="AG77" s="683"/>
      <c r="AH77" s="683"/>
      <c r="AI77" s="683"/>
      <c r="AJ77" s="683"/>
      <c r="AK77" s="683"/>
    </row>
    <row r="78" spans="9:37" s="235" customFormat="1" x14ac:dyDescent="0.25">
      <c r="I78" s="683"/>
      <c r="J78" s="683"/>
      <c r="K78" s="683"/>
      <c r="L78" s="683"/>
      <c r="M78" s="684"/>
      <c r="N78" s="684"/>
      <c r="O78" s="683"/>
      <c r="P78" s="683"/>
      <c r="Q78" s="683"/>
      <c r="R78" s="683"/>
      <c r="S78" s="683"/>
      <c r="T78" s="683"/>
      <c r="U78" s="683"/>
      <c r="V78" s="683"/>
      <c r="W78" s="683"/>
      <c r="X78" s="683"/>
      <c r="Y78" s="683"/>
      <c r="Z78" s="683"/>
      <c r="AA78" s="683"/>
      <c r="AB78" s="683"/>
      <c r="AC78" s="683"/>
      <c r="AD78" s="683"/>
      <c r="AE78" s="683"/>
      <c r="AF78" s="683"/>
      <c r="AG78" s="683"/>
      <c r="AH78" s="683"/>
      <c r="AI78" s="683"/>
      <c r="AJ78" s="683"/>
      <c r="AK78" s="683"/>
    </row>
    <row r="79" spans="9:37" s="235" customFormat="1" x14ac:dyDescent="0.25">
      <c r="I79" s="683"/>
      <c r="J79" s="683"/>
      <c r="K79" s="683"/>
      <c r="L79" s="683"/>
      <c r="M79" s="684"/>
      <c r="N79" s="684"/>
      <c r="O79" s="683"/>
      <c r="P79" s="683"/>
      <c r="Q79" s="683"/>
      <c r="R79" s="683"/>
      <c r="S79" s="683"/>
      <c r="T79" s="683"/>
      <c r="U79" s="683"/>
      <c r="V79" s="683"/>
      <c r="W79" s="683"/>
      <c r="X79" s="683"/>
      <c r="Y79" s="683"/>
      <c r="Z79" s="683"/>
      <c r="AA79" s="683"/>
      <c r="AB79" s="683"/>
      <c r="AC79" s="683"/>
      <c r="AD79" s="683"/>
      <c r="AE79" s="683"/>
      <c r="AF79" s="683"/>
      <c r="AG79" s="683"/>
      <c r="AH79" s="683"/>
      <c r="AI79" s="683"/>
      <c r="AJ79" s="683"/>
      <c r="AK79" s="683"/>
    </row>
    <row r="80" spans="9:37" s="235" customFormat="1" x14ac:dyDescent="0.25">
      <c r="I80" s="683"/>
      <c r="J80" s="683"/>
      <c r="K80" s="683"/>
      <c r="L80" s="683"/>
      <c r="M80" s="684"/>
      <c r="N80" s="684"/>
      <c r="O80" s="683"/>
      <c r="P80" s="683"/>
      <c r="Q80" s="683"/>
      <c r="R80" s="683"/>
      <c r="S80" s="683"/>
      <c r="T80" s="683"/>
      <c r="U80" s="683"/>
      <c r="V80" s="683"/>
      <c r="W80" s="683"/>
      <c r="X80" s="683"/>
      <c r="Y80" s="683"/>
      <c r="Z80" s="683"/>
      <c r="AA80" s="683"/>
      <c r="AB80" s="683"/>
      <c r="AC80" s="683"/>
      <c r="AD80" s="683"/>
      <c r="AE80" s="683"/>
      <c r="AF80" s="683"/>
      <c r="AG80" s="683"/>
      <c r="AH80" s="683"/>
      <c r="AI80" s="683"/>
      <c r="AJ80" s="683"/>
      <c r="AK80" s="683"/>
    </row>
    <row r="81" spans="9:37" s="235" customFormat="1" x14ac:dyDescent="0.25">
      <c r="I81" s="683"/>
      <c r="J81" s="683"/>
      <c r="K81" s="683"/>
      <c r="L81" s="683"/>
      <c r="M81" s="684"/>
      <c r="N81" s="684"/>
      <c r="O81" s="683"/>
      <c r="P81" s="683"/>
      <c r="Q81" s="683"/>
      <c r="R81" s="683"/>
      <c r="S81" s="683"/>
      <c r="T81" s="683"/>
      <c r="U81" s="683"/>
      <c r="V81" s="683"/>
      <c r="W81" s="683"/>
      <c r="X81" s="683"/>
      <c r="Y81" s="683"/>
      <c r="Z81" s="683"/>
      <c r="AA81" s="683"/>
      <c r="AB81" s="683"/>
      <c r="AC81" s="683"/>
      <c r="AD81" s="683"/>
      <c r="AE81" s="683"/>
      <c r="AF81" s="683"/>
      <c r="AG81" s="683"/>
      <c r="AH81" s="683"/>
      <c r="AI81" s="683"/>
      <c r="AJ81" s="683"/>
      <c r="AK81" s="683"/>
    </row>
    <row r="82" spans="9:37" s="235" customFormat="1" x14ac:dyDescent="0.25">
      <c r="I82" s="683"/>
      <c r="J82" s="683"/>
      <c r="K82" s="683"/>
      <c r="L82" s="683"/>
      <c r="M82" s="684"/>
      <c r="N82" s="684"/>
      <c r="O82" s="683"/>
      <c r="P82" s="683"/>
      <c r="Q82" s="683"/>
      <c r="R82" s="683"/>
      <c r="S82" s="683"/>
      <c r="T82" s="683"/>
      <c r="U82" s="683"/>
      <c r="V82" s="683"/>
      <c r="W82" s="683"/>
      <c r="X82" s="683"/>
      <c r="Y82" s="683"/>
      <c r="Z82" s="683"/>
      <c r="AA82" s="683"/>
      <c r="AB82" s="683"/>
      <c r="AC82" s="683"/>
      <c r="AD82" s="683"/>
      <c r="AE82" s="683"/>
      <c r="AF82" s="683"/>
      <c r="AG82" s="683"/>
      <c r="AH82" s="683"/>
      <c r="AI82" s="683"/>
      <c r="AJ82" s="683"/>
      <c r="AK82" s="683"/>
    </row>
    <row r="83" spans="9:37" s="235" customFormat="1" x14ac:dyDescent="0.25">
      <c r="I83" s="683"/>
      <c r="J83" s="683"/>
      <c r="K83" s="683"/>
      <c r="L83" s="683"/>
      <c r="M83" s="684"/>
      <c r="N83" s="684"/>
      <c r="O83" s="683"/>
      <c r="P83" s="683"/>
      <c r="Q83" s="683"/>
      <c r="R83" s="683"/>
      <c r="S83" s="683"/>
      <c r="T83" s="683"/>
      <c r="U83" s="683"/>
      <c r="V83" s="683"/>
      <c r="W83" s="683"/>
      <c r="X83" s="683"/>
      <c r="Y83" s="683"/>
      <c r="Z83" s="683"/>
      <c r="AA83" s="683"/>
      <c r="AB83" s="683"/>
      <c r="AC83" s="683"/>
      <c r="AD83" s="683"/>
      <c r="AE83" s="683"/>
      <c r="AF83" s="683"/>
      <c r="AG83" s="683"/>
      <c r="AH83" s="683"/>
      <c r="AI83" s="683"/>
      <c r="AJ83" s="683"/>
      <c r="AK83" s="683"/>
    </row>
    <row r="84" spans="9:37" s="235" customFormat="1" x14ac:dyDescent="0.25">
      <c r="I84" s="683"/>
      <c r="J84" s="683"/>
      <c r="K84" s="683"/>
      <c r="L84" s="683"/>
      <c r="M84" s="684"/>
      <c r="N84" s="684"/>
      <c r="O84" s="683"/>
      <c r="P84" s="683"/>
      <c r="Q84" s="683"/>
      <c r="R84" s="683"/>
      <c r="S84" s="683"/>
      <c r="T84" s="683"/>
      <c r="U84" s="683"/>
      <c r="V84" s="683"/>
      <c r="W84" s="683"/>
      <c r="X84" s="683"/>
      <c r="Y84" s="683"/>
      <c r="Z84" s="683"/>
      <c r="AA84" s="683"/>
      <c r="AB84" s="683"/>
      <c r="AC84" s="683"/>
      <c r="AD84" s="683"/>
      <c r="AE84" s="683"/>
      <c r="AF84" s="683"/>
      <c r="AG84" s="683"/>
      <c r="AH84" s="683"/>
      <c r="AI84" s="683"/>
      <c r="AJ84" s="683"/>
      <c r="AK84" s="683"/>
    </row>
    <row r="85" spans="9:37" s="235" customFormat="1" x14ac:dyDescent="0.25">
      <c r="I85" s="683"/>
      <c r="J85" s="683"/>
      <c r="K85" s="683"/>
      <c r="L85" s="683"/>
      <c r="M85" s="684"/>
      <c r="N85" s="684"/>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3"/>
    </row>
    <row r="86" spans="9:37" s="235" customFormat="1" x14ac:dyDescent="0.25">
      <c r="I86" s="683"/>
      <c r="J86" s="683"/>
      <c r="K86" s="683"/>
      <c r="L86" s="683"/>
      <c r="M86" s="684"/>
      <c r="N86" s="684"/>
      <c r="O86" s="683"/>
      <c r="P86" s="683"/>
      <c r="Q86" s="683"/>
      <c r="R86" s="683"/>
      <c r="S86" s="683"/>
      <c r="T86" s="683"/>
      <c r="U86" s="683"/>
      <c r="V86" s="683"/>
      <c r="W86" s="683"/>
      <c r="X86" s="683"/>
      <c r="Y86" s="683"/>
      <c r="Z86" s="683"/>
      <c r="AA86" s="683"/>
      <c r="AB86" s="683"/>
      <c r="AC86" s="683"/>
      <c r="AD86" s="683"/>
      <c r="AE86" s="683"/>
      <c r="AF86" s="683"/>
      <c r="AG86" s="683"/>
      <c r="AH86" s="683"/>
      <c r="AI86" s="683"/>
      <c r="AJ86" s="683"/>
      <c r="AK86" s="683"/>
    </row>
    <row r="87" spans="9:37" s="235" customFormat="1" x14ac:dyDescent="0.25">
      <c r="I87" s="683"/>
      <c r="J87" s="683"/>
      <c r="K87" s="683"/>
      <c r="L87" s="683"/>
      <c r="M87" s="684"/>
      <c r="N87" s="684"/>
      <c r="O87" s="683"/>
      <c r="P87" s="683"/>
      <c r="Q87" s="683"/>
      <c r="R87" s="683"/>
      <c r="S87" s="683"/>
      <c r="T87" s="683"/>
      <c r="U87" s="683"/>
      <c r="V87" s="683"/>
      <c r="W87" s="683"/>
      <c r="X87" s="683"/>
      <c r="Y87" s="683"/>
      <c r="Z87" s="683"/>
      <c r="AA87" s="683"/>
      <c r="AB87" s="683"/>
      <c r="AC87" s="683"/>
      <c r="AD87" s="683"/>
      <c r="AE87" s="683"/>
      <c r="AF87" s="683"/>
      <c r="AG87" s="683"/>
      <c r="AH87" s="683"/>
      <c r="AI87" s="683"/>
      <c r="AJ87" s="683"/>
      <c r="AK87" s="683"/>
    </row>
    <row r="88" spans="9:37" s="235" customFormat="1" x14ac:dyDescent="0.25">
      <c r="I88" s="683"/>
      <c r="J88" s="683"/>
      <c r="K88" s="683"/>
      <c r="L88" s="683"/>
      <c r="M88" s="684"/>
      <c r="N88" s="684"/>
      <c r="O88" s="683"/>
      <c r="P88" s="683"/>
      <c r="Q88" s="683"/>
      <c r="R88" s="683"/>
      <c r="S88" s="683"/>
      <c r="T88" s="683"/>
      <c r="U88" s="683"/>
      <c r="V88" s="683"/>
      <c r="W88" s="683"/>
      <c r="X88" s="683"/>
      <c r="Y88" s="683"/>
      <c r="Z88" s="683"/>
      <c r="AA88" s="683"/>
      <c r="AB88" s="683"/>
      <c r="AC88" s="683"/>
      <c r="AD88" s="683"/>
      <c r="AE88" s="683"/>
      <c r="AF88" s="683"/>
      <c r="AG88" s="683"/>
      <c r="AH88" s="683"/>
      <c r="AI88" s="683"/>
      <c r="AJ88" s="683"/>
      <c r="AK88" s="683"/>
    </row>
    <row r="89" spans="9:37" s="235" customFormat="1" x14ac:dyDescent="0.25">
      <c r="I89" s="683"/>
      <c r="J89" s="683"/>
      <c r="K89" s="683"/>
      <c r="L89" s="683"/>
      <c r="M89" s="684"/>
      <c r="N89" s="684"/>
      <c r="O89" s="683"/>
      <c r="P89" s="683"/>
      <c r="Q89" s="683"/>
      <c r="R89" s="683"/>
      <c r="S89" s="683"/>
      <c r="T89" s="683"/>
      <c r="U89" s="683"/>
      <c r="V89" s="683"/>
      <c r="W89" s="683"/>
      <c r="X89" s="683"/>
      <c r="Y89" s="683"/>
      <c r="Z89" s="683"/>
      <c r="AA89" s="683"/>
      <c r="AB89" s="683"/>
      <c r="AC89" s="683"/>
      <c r="AD89" s="683"/>
      <c r="AE89" s="683"/>
      <c r="AF89" s="683"/>
      <c r="AG89" s="683"/>
      <c r="AH89" s="683"/>
      <c r="AI89" s="683"/>
      <c r="AJ89" s="683"/>
      <c r="AK89" s="683"/>
    </row>
    <row r="90" spans="9:37" s="235" customFormat="1" x14ac:dyDescent="0.25">
      <c r="I90" s="683"/>
      <c r="J90" s="683"/>
      <c r="K90" s="683"/>
      <c r="L90" s="683"/>
      <c r="M90" s="684"/>
      <c r="N90" s="684"/>
      <c r="O90" s="683"/>
      <c r="P90" s="683"/>
      <c r="Q90" s="683"/>
      <c r="R90" s="683"/>
      <c r="S90" s="683"/>
      <c r="T90" s="683"/>
      <c r="U90" s="683"/>
      <c r="V90" s="683"/>
      <c r="W90" s="683"/>
      <c r="X90" s="683"/>
      <c r="Y90" s="683"/>
      <c r="Z90" s="683"/>
      <c r="AA90" s="683"/>
      <c r="AB90" s="683"/>
      <c r="AC90" s="683"/>
      <c r="AD90" s="683"/>
      <c r="AE90" s="683"/>
      <c r="AF90" s="683"/>
      <c r="AG90" s="683"/>
      <c r="AH90" s="683"/>
      <c r="AI90" s="683"/>
      <c r="AJ90" s="683"/>
      <c r="AK90" s="683"/>
    </row>
    <row r="91" spans="9:37" s="235" customFormat="1" x14ac:dyDescent="0.25">
      <c r="I91" s="683"/>
      <c r="J91" s="683"/>
      <c r="K91" s="683"/>
      <c r="L91" s="683"/>
      <c r="M91" s="684"/>
      <c r="N91" s="684"/>
      <c r="O91" s="683"/>
      <c r="P91" s="683"/>
      <c r="Q91" s="683"/>
      <c r="R91" s="683"/>
      <c r="S91" s="683"/>
      <c r="T91" s="683"/>
      <c r="U91" s="683"/>
      <c r="V91" s="683"/>
      <c r="W91" s="683"/>
      <c r="X91" s="683"/>
      <c r="Y91" s="683"/>
      <c r="Z91" s="683"/>
      <c r="AA91" s="683"/>
      <c r="AB91" s="683"/>
      <c r="AC91" s="683"/>
      <c r="AD91" s="683"/>
      <c r="AE91" s="683"/>
      <c r="AF91" s="683"/>
      <c r="AG91" s="683"/>
      <c r="AH91" s="683"/>
      <c r="AI91" s="683"/>
      <c r="AJ91" s="683"/>
      <c r="AK91" s="683"/>
    </row>
    <row r="92" spans="9:37" s="235" customFormat="1" x14ac:dyDescent="0.25">
      <c r="I92" s="683"/>
      <c r="J92" s="683"/>
      <c r="K92" s="683"/>
      <c r="L92" s="683"/>
      <c r="M92" s="684"/>
      <c r="N92" s="684"/>
      <c r="O92" s="683"/>
      <c r="P92" s="683"/>
      <c r="Q92" s="683"/>
      <c r="R92" s="683"/>
      <c r="S92" s="683"/>
      <c r="T92" s="683"/>
      <c r="U92" s="683"/>
      <c r="V92" s="683"/>
      <c r="W92" s="683"/>
      <c r="X92" s="683"/>
      <c r="Y92" s="683"/>
      <c r="Z92" s="683"/>
      <c r="AA92" s="683"/>
      <c r="AB92" s="683"/>
      <c r="AC92" s="683"/>
      <c r="AD92" s="683"/>
      <c r="AE92" s="683"/>
      <c r="AF92" s="683"/>
      <c r="AG92" s="683"/>
      <c r="AH92" s="683"/>
      <c r="AI92" s="683"/>
      <c r="AJ92" s="683"/>
      <c r="AK92" s="683"/>
    </row>
    <row r="93" spans="9:37" s="235" customFormat="1" x14ac:dyDescent="0.25">
      <c r="I93" s="683"/>
      <c r="J93" s="683"/>
      <c r="K93" s="683"/>
      <c r="L93" s="683"/>
      <c r="M93" s="684"/>
      <c r="N93" s="684"/>
      <c r="O93" s="683"/>
      <c r="P93" s="683"/>
      <c r="Q93" s="683"/>
      <c r="R93" s="683"/>
      <c r="S93" s="683"/>
      <c r="T93" s="683"/>
      <c r="U93" s="683"/>
      <c r="V93" s="683"/>
      <c r="W93" s="683"/>
      <c r="X93" s="683"/>
      <c r="Y93" s="683"/>
      <c r="Z93" s="683"/>
      <c r="AA93" s="683"/>
      <c r="AB93" s="683"/>
      <c r="AC93" s="683"/>
      <c r="AD93" s="683"/>
      <c r="AE93" s="683"/>
      <c r="AF93" s="683"/>
      <c r="AG93" s="683"/>
      <c r="AH93" s="683"/>
      <c r="AI93" s="683"/>
      <c r="AJ93" s="683"/>
      <c r="AK93" s="683"/>
    </row>
    <row r="94" spans="9:37" s="235" customFormat="1" x14ac:dyDescent="0.25">
      <c r="I94" s="683"/>
      <c r="J94" s="683"/>
      <c r="K94" s="683"/>
      <c r="L94" s="683"/>
      <c r="M94" s="684"/>
      <c r="N94" s="684"/>
      <c r="O94" s="683"/>
      <c r="P94" s="683"/>
      <c r="Q94" s="683"/>
      <c r="R94" s="683"/>
      <c r="S94" s="683"/>
      <c r="T94" s="683"/>
      <c r="U94" s="683"/>
      <c r="V94" s="683"/>
      <c r="W94" s="683"/>
      <c r="X94" s="683"/>
      <c r="Y94" s="683"/>
      <c r="Z94" s="683"/>
      <c r="AA94" s="683"/>
      <c r="AB94" s="683"/>
      <c r="AC94" s="683"/>
      <c r="AD94" s="683"/>
      <c r="AE94" s="683"/>
      <c r="AF94" s="683"/>
      <c r="AG94" s="683"/>
      <c r="AH94" s="683"/>
      <c r="AI94" s="683"/>
      <c r="AJ94" s="683"/>
      <c r="AK94" s="683"/>
    </row>
    <row r="95" spans="9:37" s="235" customFormat="1" x14ac:dyDescent="0.25">
      <c r="I95" s="683"/>
      <c r="J95" s="683"/>
      <c r="K95" s="683"/>
      <c r="L95" s="683"/>
      <c r="M95" s="684"/>
      <c r="N95" s="684"/>
      <c r="O95" s="683"/>
      <c r="P95" s="683"/>
      <c r="Q95" s="683"/>
      <c r="R95" s="683"/>
      <c r="S95" s="683"/>
      <c r="T95" s="683"/>
      <c r="U95" s="683"/>
      <c r="V95" s="683"/>
      <c r="W95" s="683"/>
      <c r="X95" s="683"/>
      <c r="Y95" s="683"/>
      <c r="Z95" s="683"/>
      <c r="AA95" s="683"/>
      <c r="AB95" s="683"/>
      <c r="AC95" s="683"/>
      <c r="AD95" s="683"/>
      <c r="AE95" s="683"/>
      <c r="AF95" s="683"/>
      <c r="AG95" s="683"/>
      <c r="AH95" s="683"/>
      <c r="AI95" s="683"/>
      <c r="AJ95" s="683"/>
      <c r="AK95" s="683"/>
    </row>
    <row r="96" spans="9:37" s="235" customFormat="1" x14ac:dyDescent="0.25">
      <c r="I96" s="683"/>
      <c r="J96" s="683"/>
      <c r="K96" s="683"/>
      <c r="L96" s="683"/>
      <c r="M96" s="684"/>
      <c r="N96" s="684"/>
      <c r="O96" s="683"/>
      <c r="P96" s="683"/>
      <c r="Q96" s="683"/>
      <c r="R96" s="683"/>
      <c r="S96" s="683"/>
      <c r="T96" s="683"/>
      <c r="U96" s="683"/>
      <c r="V96" s="683"/>
      <c r="W96" s="683"/>
      <c r="X96" s="683"/>
      <c r="Y96" s="683"/>
      <c r="Z96" s="683"/>
      <c r="AA96" s="683"/>
      <c r="AB96" s="683"/>
      <c r="AC96" s="683"/>
      <c r="AD96" s="683"/>
      <c r="AE96" s="683"/>
      <c r="AF96" s="683"/>
      <c r="AG96" s="683"/>
      <c r="AH96" s="683"/>
      <c r="AI96" s="683"/>
      <c r="AJ96" s="683"/>
      <c r="AK96" s="683"/>
    </row>
    <row r="97" spans="9:37" s="235" customFormat="1" x14ac:dyDescent="0.25">
      <c r="I97" s="683"/>
      <c r="J97" s="683"/>
      <c r="K97" s="683"/>
      <c r="L97" s="683"/>
      <c r="M97" s="684"/>
      <c r="N97" s="684"/>
      <c r="O97" s="683"/>
      <c r="P97" s="683"/>
      <c r="Q97" s="683"/>
      <c r="R97" s="683"/>
      <c r="S97" s="683"/>
      <c r="T97" s="683"/>
      <c r="U97" s="683"/>
      <c r="V97" s="683"/>
      <c r="W97" s="683"/>
      <c r="X97" s="683"/>
      <c r="Y97" s="683"/>
      <c r="Z97" s="683"/>
      <c r="AA97" s="683"/>
      <c r="AB97" s="683"/>
      <c r="AC97" s="683"/>
      <c r="AD97" s="683"/>
      <c r="AE97" s="683"/>
      <c r="AF97" s="683"/>
      <c r="AG97" s="683"/>
      <c r="AH97" s="683"/>
      <c r="AI97" s="683"/>
      <c r="AJ97" s="683"/>
      <c r="AK97" s="683"/>
    </row>
    <row r="98" spans="9:37" s="235" customFormat="1" x14ac:dyDescent="0.25">
      <c r="I98" s="683"/>
      <c r="J98" s="683"/>
      <c r="K98" s="683"/>
      <c r="L98" s="683"/>
      <c r="M98" s="684"/>
      <c r="N98" s="684"/>
      <c r="O98" s="683"/>
      <c r="P98" s="683"/>
      <c r="Q98" s="683"/>
      <c r="R98" s="683"/>
      <c r="S98" s="683"/>
      <c r="T98" s="683"/>
      <c r="U98" s="683"/>
      <c r="V98" s="683"/>
      <c r="W98" s="683"/>
      <c r="X98" s="683"/>
      <c r="Y98" s="683"/>
      <c r="Z98" s="683"/>
      <c r="AA98" s="683"/>
      <c r="AB98" s="683"/>
      <c r="AC98" s="683"/>
      <c r="AD98" s="683"/>
      <c r="AE98" s="683"/>
      <c r="AF98" s="683"/>
      <c r="AG98" s="683"/>
      <c r="AH98" s="683"/>
      <c r="AI98" s="683"/>
      <c r="AJ98" s="683"/>
      <c r="AK98" s="683"/>
    </row>
    <row r="99" spans="9:37" s="235" customFormat="1" x14ac:dyDescent="0.25">
      <c r="I99" s="683"/>
      <c r="J99" s="683"/>
      <c r="K99" s="683"/>
      <c r="L99" s="683"/>
      <c r="M99" s="684"/>
      <c r="N99" s="684"/>
      <c r="O99" s="683"/>
      <c r="P99" s="683"/>
      <c r="Q99" s="683"/>
      <c r="R99" s="683"/>
      <c r="S99" s="683"/>
      <c r="T99" s="683"/>
      <c r="U99" s="683"/>
      <c r="V99" s="683"/>
      <c r="W99" s="683"/>
      <c r="X99" s="683"/>
      <c r="Y99" s="683"/>
      <c r="Z99" s="683"/>
      <c r="AA99" s="683"/>
      <c r="AB99" s="683"/>
      <c r="AC99" s="683"/>
      <c r="AD99" s="683"/>
      <c r="AE99" s="683"/>
      <c r="AF99" s="683"/>
      <c r="AG99" s="683"/>
      <c r="AH99" s="683"/>
      <c r="AI99" s="683"/>
      <c r="AJ99" s="683"/>
      <c r="AK99" s="683"/>
    </row>
    <row r="100" spans="9:37" s="235" customFormat="1" x14ac:dyDescent="0.25">
      <c r="I100" s="683"/>
      <c r="J100" s="683"/>
      <c r="K100" s="683"/>
      <c r="L100" s="683"/>
      <c r="M100" s="684"/>
      <c r="N100" s="684"/>
      <c r="O100" s="683"/>
      <c r="P100" s="683"/>
      <c r="Q100" s="683"/>
      <c r="R100" s="683"/>
      <c r="S100" s="683"/>
      <c r="T100" s="683"/>
      <c r="U100" s="683"/>
      <c r="V100" s="683"/>
      <c r="W100" s="683"/>
      <c r="X100" s="683"/>
      <c r="Y100" s="683"/>
      <c r="Z100" s="683"/>
      <c r="AA100" s="683"/>
      <c r="AB100" s="683"/>
      <c r="AC100" s="683"/>
      <c r="AD100" s="683"/>
      <c r="AE100" s="683"/>
      <c r="AF100" s="683"/>
      <c r="AG100" s="683"/>
      <c r="AH100" s="683"/>
      <c r="AI100" s="683"/>
      <c r="AJ100" s="683"/>
      <c r="AK100" s="683"/>
    </row>
    <row r="101" spans="9:37" s="235" customFormat="1" x14ac:dyDescent="0.25">
      <c r="I101" s="683"/>
      <c r="J101" s="683"/>
      <c r="K101" s="683"/>
      <c r="L101" s="683"/>
      <c r="M101" s="684"/>
      <c r="N101" s="684"/>
      <c r="O101" s="683"/>
      <c r="P101" s="683"/>
      <c r="Q101" s="683"/>
      <c r="R101" s="683"/>
      <c r="S101" s="683"/>
      <c r="T101" s="683"/>
      <c r="U101" s="683"/>
      <c r="V101" s="683"/>
      <c r="W101" s="683"/>
      <c r="X101" s="683"/>
      <c r="Y101" s="683"/>
      <c r="Z101" s="683"/>
      <c r="AA101" s="683"/>
      <c r="AB101" s="683"/>
      <c r="AC101" s="683"/>
      <c r="AD101" s="683"/>
      <c r="AE101" s="683"/>
      <c r="AF101" s="683"/>
      <c r="AG101" s="683"/>
      <c r="AH101" s="683"/>
      <c r="AI101" s="683"/>
      <c r="AJ101" s="683"/>
      <c r="AK101" s="683"/>
    </row>
    <row r="102" spans="9:37" s="235" customFormat="1" x14ac:dyDescent="0.25">
      <c r="I102" s="683"/>
      <c r="J102" s="683"/>
      <c r="K102" s="683"/>
      <c r="L102" s="683"/>
      <c r="M102" s="684"/>
      <c r="N102" s="684"/>
      <c r="O102" s="683"/>
      <c r="P102" s="683"/>
      <c r="Q102" s="683"/>
      <c r="R102" s="683"/>
      <c r="S102" s="683"/>
      <c r="T102" s="683"/>
      <c r="U102" s="683"/>
      <c r="V102" s="683"/>
      <c r="W102" s="683"/>
      <c r="X102" s="683"/>
      <c r="Y102" s="683"/>
      <c r="Z102" s="683"/>
      <c r="AA102" s="683"/>
      <c r="AB102" s="683"/>
      <c r="AC102" s="683"/>
      <c r="AD102" s="683"/>
      <c r="AE102" s="683"/>
      <c r="AF102" s="683"/>
      <c r="AG102" s="683"/>
      <c r="AH102" s="683"/>
      <c r="AI102" s="683"/>
      <c r="AJ102" s="683"/>
      <c r="AK102" s="683"/>
    </row>
    <row r="103" spans="9:37" s="235" customFormat="1" x14ac:dyDescent="0.25">
      <c r="I103" s="683"/>
      <c r="J103" s="683"/>
      <c r="K103" s="683"/>
      <c r="L103" s="683"/>
      <c r="M103" s="684"/>
      <c r="N103" s="684"/>
      <c r="O103" s="683"/>
      <c r="P103" s="683"/>
      <c r="Q103" s="683"/>
      <c r="R103" s="683"/>
      <c r="S103" s="683"/>
      <c r="T103" s="683"/>
      <c r="U103" s="683"/>
      <c r="V103" s="683"/>
      <c r="W103" s="683"/>
      <c r="X103" s="683"/>
      <c r="Y103" s="683"/>
      <c r="Z103" s="683"/>
      <c r="AA103" s="683"/>
      <c r="AB103" s="683"/>
      <c r="AC103" s="683"/>
      <c r="AD103" s="683"/>
      <c r="AE103" s="683"/>
      <c r="AF103" s="683"/>
      <c r="AG103" s="683"/>
      <c r="AH103" s="683"/>
      <c r="AI103" s="683"/>
      <c r="AJ103" s="683"/>
      <c r="AK103" s="683"/>
    </row>
    <row r="104" spans="9:37" s="235" customFormat="1" x14ac:dyDescent="0.25">
      <c r="I104" s="683"/>
      <c r="J104" s="683"/>
      <c r="K104" s="683"/>
      <c r="L104" s="683"/>
      <c r="M104" s="684"/>
      <c r="N104" s="684"/>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row>
    <row r="105" spans="9:37" s="235" customFormat="1" x14ac:dyDescent="0.25">
      <c r="I105" s="683"/>
      <c r="J105" s="683"/>
      <c r="K105" s="683"/>
      <c r="L105" s="683"/>
      <c r="M105" s="684"/>
      <c r="N105" s="684"/>
      <c r="O105" s="683"/>
      <c r="P105" s="683"/>
      <c r="Q105" s="683"/>
      <c r="R105" s="683"/>
      <c r="S105" s="683"/>
      <c r="T105" s="683"/>
      <c r="U105" s="683"/>
      <c r="V105" s="683"/>
      <c r="W105" s="683"/>
      <c r="X105" s="683"/>
      <c r="Y105" s="683"/>
      <c r="Z105" s="683"/>
      <c r="AA105" s="683"/>
      <c r="AB105" s="683"/>
      <c r="AC105" s="683"/>
      <c r="AD105" s="683"/>
      <c r="AE105" s="683"/>
      <c r="AF105" s="683"/>
      <c r="AG105" s="683"/>
      <c r="AH105" s="683"/>
      <c r="AI105" s="683"/>
      <c r="AJ105" s="683"/>
      <c r="AK105" s="683"/>
    </row>
    <row r="106" spans="9:37" s="235" customFormat="1" x14ac:dyDescent="0.25">
      <c r="I106" s="683"/>
      <c r="J106" s="683"/>
      <c r="K106" s="683"/>
      <c r="L106" s="683"/>
      <c r="M106" s="684"/>
      <c r="N106" s="684"/>
      <c r="O106" s="683"/>
      <c r="P106" s="683"/>
      <c r="Q106" s="683"/>
      <c r="R106" s="683"/>
      <c r="S106" s="683"/>
      <c r="T106" s="683"/>
      <c r="U106" s="683"/>
      <c r="V106" s="683"/>
      <c r="W106" s="683"/>
      <c r="X106" s="683"/>
      <c r="Y106" s="683"/>
      <c r="Z106" s="683"/>
      <c r="AA106" s="683"/>
      <c r="AB106" s="683"/>
      <c r="AC106" s="683"/>
      <c r="AD106" s="683"/>
      <c r="AE106" s="683"/>
      <c r="AF106" s="683"/>
      <c r="AG106" s="683"/>
      <c r="AH106" s="683"/>
      <c r="AI106" s="683"/>
      <c r="AJ106" s="683"/>
      <c r="AK106" s="683"/>
    </row>
    <row r="107" spans="9:37" s="235" customFormat="1" x14ac:dyDescent="0.25">
      <c r="I107" s="683"/>
      <c r="J107" s="683"/>
      <c r="K107" s="683"/>
      <c r="L107" s="683"/>
      <c r="M107" s="684"/>
      <c r="N107" s="684"/>
      <c r="O107" s="683"/>
      <c r="P107" s="683"/>
      <c r="Q107" s="683"/>
      <c r="R107" s="683"/>
      <c r="S107" s="683"/>
      <c r="T107" s="683"/>
      <c r="U107" s="683"/>
      <c r="V107" s="683"/>
      <c r="W107" s="683"/>
      <c r="X107" s="683"/>
      <c r="Y107" s="683"/>
      <c r="Z107" s="683"/>
      <c r="AA107" s="683"/>
      <c r="AB107" s="683"/>
      <c r="AC107" s="683"/>
      <c r="AD107" s="683"/>
      <c r="AE107" s="683"/>
      <c r="AF107" s="683"/>
      <c r="AG107" s="683"/>
      <c r="AH107" s="683"/>
      <c r="AI107" s="683"/>
      <c r="AJ107" s="683"/>
      <c r="AK107" s="683"/>
    </row>
    <row r="108" spans="9:37" s="235" customFormat="1" x14ac:dyDescent="0.25">
      <c r="I108" s="683"/>
      <c r="J108" s="683"/>
      <c r="K108" s="683"/>
      <c r="L108" s="683"/>
      <c r="M108" s="684"/>
      <c r="N108" s="684"/>
      <c r="O108" s="683"/>
      <c r="P108" s="683"/>
      <c r="Q108" s="683"/>
      <c r="R108" s="683"/>
      <c r="S108" s="683"/>
      <c r="T108" s="683"/>
      <c r="U108" s="683"/>
      <c r="V108" s="683"/>
      <c r="W108" s="683"/>
      <c r="X108" s="683"/>
      <c r="Y108" s="683"/>
      <c r="Z108" s="683"/>
      <c r="AA108" s="683"/>
      <c r="AB108" s="683"/>
      <c r="AC108" s="683"/>
      <c r="AD108" s="683"/>
      <c r="AE108" s="683"/>
      <c r="AF108" s="683"/>
      <c r="AG108" s="683"/>
      <c r="AH108" s="683"/>
      <c r="AI108" s="683"/>
      <c r="AJ108" s="683"/>
      <c r="AK108" s="683"/>
    </row>
    <row r="109" spans="9:37" s="235" customFormat="1" x14ac:dyDescent="0.25">
      <c r="I109" s="683"/>
      <c r="J109" s="683"/>
      <c r="K109" s="683"/>
      <c r="L109" s="683"/>
      <c r="M109" s="684"/>
      <c r="N109" s="684"/>
      <c r="O109" s="683"/>
      <c r="P109" s="683"/>
      <c r="Q109" s="683"/>
      <c r="R109" s="683"/>
      <c r="S109" s="683"/>
      <c r="T109" s="683"/>
      <c r="U109" s="683"/>
      <c r="V109" s="683"/>
      <c r="W109" s="683"/>
      <c r="X109" s="683"/>
      <c r="Y109" s="683"/>
      <c r="Z109" s="683"/>
      <c r="AA109" s="683"/>
      <c r="AB109" s="683"/>
      <c r="AC109" s="683"/>
      <c r="AD109" s="683"/>
      <c r="AE109" s="683"/>
      <c r="AF109" s="683"/>
      <c r="AG109" s="683"/>
      <c r="AH109" s="683"/>
      <c r="AI109" s="683"/>
      <c r="AJ109" s="683"/>
      <c r="AK109" s="683"/>
    </row>
    <row r="110" spans="9:37" s="235" customFormat="1" x14ac:dyDescent="0.25">
      <c r="I110" s="683"/>
      <c r="J110" s="683"/>
      <c r="K110" s="683"/>
      <c r="L110" s="683"/>
      <c r="M110" s="684"/>
      <c r="N110" s="684"/>
      <c r="O110" s="683"/>
      <c r="P110" s="683"/>
      <c r="Q110" s="683"/>
      <c r="R110" s="683"/>
      <c r="S110" s="683"/>
      <c r="T110" s="683"/>
      <c r="U110" s="683"/>
      <c r="V110" s="683"/>
      <c r="W110" s="683"/>
      <c r="X110" s="683"/>
      <c r="Y110" s="683"/>
      <c r="Z110" s="683"/>
      <c r="AA110" s="683"/>
      <c r="AB110" s="683"/>
      <c r="AC110" s="683"/>
      <c r="AD110" s="683"/>
      <c r="AE110" s="683"/>
      <c r="AF110" s="683"/>
      <c r="AG110" s="683"/>
      <c r="AH110" s="683"/>
      <c r="AI110" s="683"/>
      <c r="AJ110" s="683"/>
      <c r="AK110" s="683"/>
    </row>
    <row r="111" spans="9:37" s="235" customFormat="1" x14ac:dyDescent="0.25">
      <c r="I111" s="683"/>
      <c r="J111" s="683"/>
      <c r="K111" s="683"/>
      <c r="L111" s="683"/>
      <c r="M111" s="684"/>
      <c r="N111" s="684"/>
      <c r="O111" s="683"/>
      <c r="P111" s="683"/>
      <c r="Q111" s="683"/>
      <c r="R111" s="683"/>
      <c r="S111" s="683"/>
      <c r="T111" s="683"/>
      <c r="U111" s="683"/>
      <c r="V111" s="683"/>
      <c r="W111" s="683"/>
      <c r="X111" s="683"/>
      <c r="Y111" s="683"/>
      <c r="Z111" s="683"/>
      <c r="AA111" s="683"/>
      <c r="AB111" s="683"/>
      <c r="AC111" s="683"/>
      <c r="AD111" s="683"/>
      <c r="AE111" s="683"/>
      <c r="AF111" s="683"/>
      <c r="AG111" s="683"/>
      <c r="AH111" s="683"/>
      <c r="AI111" s="683"/>
      <c r="AJ111" s="683"/>
      <c r="AK111" s="683"/>
    </row>
    <row r="112" spans="9:37" s="235" customFormat="1" x14ac:dyDescent="0.25">
      <c r="I112" s="683"/>
      <c r="J112" s="683"/>
      <c r="K112" s="683"/>
      <c r="L112" s="683"/>
      <c r="M112" s="684"/>
      <c r="N112" s="684"/>
      <c r="O112" s="683"/>
      <c r="P112" s="683"/>
      <c r="Q112" s="683"/>
      <c r="R112" s="683"/>
      <c r="S112" s="683"/>
      <c r="T112" s="683"/>
      <c r="U112" s="683"/>
      <c r="V112" s="683"/>
      <c r="W112" s="683"/>
      <c r="X112" s="683"/>
      <c r="Y112" s="683"/>
      <c r="Z112" s="683"/>
      <c r="AA112" s="683"/>
      <c r="AB112" s="683"/>
      <c r="AC112" s="683"/>
      <c r="AD112" s="683"/>
      <c r="AE112" s="683"/>
      <c r="AF112" s="683"/>
      <c r="AG112" s="683"/>
      <c r="AH112" s="683"/>
      <c r="AI112" s="683"/>
      <c r="AJ112" s="683"/>
      <c r="AK112" s="683"/>
    </row>
    <row r="113" spans="9:37" s="235" customFormat="1" x14ac:dyDescent="0.25">
      <c r="I113" s="683"/>
      <c r="J113" s="683"/>
      <c r="K113" s="683"/>
      <c r="L113" s="683"/>
      <c r="M113" s="684"/>
      <c r="N113" s="684"/>
      <c r="O113" s="683"/>
      <c r="P113" s="683"/>
      <c r="Q113" s="683"/>
      <c r="R113" s="683"/>
      <c r="S113" s="683"/>
      <c r="T113" s="683"/>
      <c r="U113" s="683"/>
      <c r="V113" s="683"/>
      <c r="W113" s="683"/>
      <c r="X113" s="683"/>
      <c r="Y113" s="683"/>
      <c r="Z113" s="683"/>
      <c r="AA113" s="683"/>
      <c r="AB113" s="683"/>
      <c r="AC113" s="683"/>
      <c r="AD113" s="683"/>
      <c r="AE113" s="683"/>
      <c r="AF113" s="683"/>
      <c r="AG113" s="683"/>
      <c r="AH113" s="683"/>
      <c r="AI113" s="683"/>
      <c r="AJ113" s="683"/>
      <c r="AK113" s="683"/>
    </row>
    <row r="114" spans="9:37" s="235" customFormat="1" x14ac:dyDescent="0.25">
      <c r="I114" s="683"/>
      <c r="J114" s="683"/>
      <c r="K114" s="683"/>
      <c r="L114" s="683"/>
      <c r="M114" s="684"/>
      <c r="N114" s="684"/>
      <c r="O114" s="683"/>
      <c r="P114" s="683"/>
      <c r="Q114" s="683"/>
      <c r="R114" s="683"/>
      <c r="S114" s="683"/>
      <c r="T114" s="683"/>
      <c r="U114" s="683"/>
      <c r="V114" s="683"/>
      <c r="W114" s="683"/>
      <c r="X114" s="683"/>
      <c r="Y114" s="683"/>
      <c r="Z114" s="683"/>
      <c r="AA114" s="683"/>
      <c r="AB114" s="683"/>
      <c r="AC114" s="683"/>
      <c r="AD114" s="683"/>
      <c r="AE114" s="683"/>
      <c r="AF114" s="683"/>
      <c r="AG114" s="683"/>
      <c r="AH114" s="683"/>
      <c r="AI114" s="683"/>
      <c r="AJ114" s="683"/>
      <c r="AK114" s="683"/>
    </row>
    <row r="115" spans="9:37" s="235" customFormat="1" x14ac:dyDescent="0.25">
      <c r="I115" s="683"/>
      <c r="J115" s="683"/>
      <c r="K115" s="683"/>
      <c r="L115" s="683"/>
      <c r="M115" s="684"/>
      <c r="N115" s="684"/>
      <c r="O115" s="683"/>
      <c r="P115" s="683"/>
      <c r="Q115" s="683"/>
      <c r="R115" s="683"/>
      <c r="S115" s="683"/>
      <c r="T115" s="683"/>
      <c r="U115" s="683"/>
      <c r="V115" s="683"/>
      <c r="W115" s="683"/>
      <c r="X115" s="683"/>
      <c r="Y115" s="683"/>
      <c r="Z115" s="683"/>
      <c r="AA115" s="683"/>
      <c r="AB115" s="683"/>
      <c r="AC115" s="683"/>
      <c r="AD115" s="683"/>
      <c r="AE115" s="683"/>
      <c r="AF115" s="683"/>
      <c r="AG115" s="683"/>
      <c r="AH115" s="683"/>
      <c r="AI115" s="683"/>
      <c r="AJ115" s="683"/>
      <c r="AK115" s="683"/>
    </row>
    <row r="116" spans="9:37" s="235" customFormat="1" x14ac:dyDescent="0.25">
      <c r="I116" s="683"/>
      <c r="J116" s="683"/>
      <c r="K116" s="683"/>
      <c r="L116" s="683"/>
      <c r="M116" s="684"/>
      <c r="N116" s="684"/>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3"/>
    </row>
    <row r="117" spans="9:37" s="235" customFormat="1" x14ac:dyDescent="0.25">
      <c r="I117" s="683"/>
      <c r="J117" s="683"/>
      <c r="K117" s="683"/>
      <c r="L117" s="683"/>
      <c r="M117" s="684"/>
      <c r="N117" s="684"/>
      <c r="O117" s="683"/>
      <c r="P117" s="683"/>
      <c r="Q117" s="683"/>
      <c r="R117" s="683"/>
      <c r="S117" s="683"/>
      <c r="T117" s="683"/>
      <c r="U117" s="683"/>
      <c r="V117" s="683"/>
      <c r="W117" s="683"/>
      <c r="X117" s="683"/>
      <c r="Y117" s="683"/>
      <c r="Z117" s="683"/>
      <c r="AA117" s="683"/>
      <c r="AB117" s="683"/>
      <c r="AC117" s="683"/>
      <c r="AD117" s="683"/>
      <c r="AE117" s="683"/>
      <c r="AF117" s="683"/>
      <c r="AG117" s="683"/>
      <c r="AH117" s="683"/>
      <c r="AI117" s="683"/>
      <c r="AJ117" s="683"/>
      <c r="AK117" s="683"/>
    </row>
    <row r="118" spans="9:37" s="235" customFormat="1" x14ac:dyDescent="0.25">
      <c r="I118" s="683"/>
      <c r="J118" s="683"/>
      <c r="K118" s="683"/>
      <c r="L118" s="683"/>
      <c r="M118" s="684"/>
      <c r="N118" s="684"/>
      <c r="O118" s="683"/>
      <c r="P118" s="683"/>
      <c r="Q118" s="683"/>
      <c r="R118" s="683"/>
      <c r="S118" s="683"/>
      <c r="T118" s="683"/>
      <c r="U118" s="683"/>
      <c r="V118" s="683"/>
      <c r="W118" s="683"/>
      <c r="X118" s="683"/>
      <c r="Y118" s="683"/>
      <c r="Z118" s="683"/>
      <c r="AA118" s="683"/>
      <c r="AB118" s="683"/>
      <c r="AC118" s="683"/>
      <c r="AD118" s="683"/>
      <c r="AE118" s="683"/>
      <c r="AF118" s="683"/>
      <c r="AG118" s="683"/>
      <c r="AH118" s="683"/>
      <c r="AI118" s="683"/>
      <c r="AJ118" s="683"/>
      <c r="AK118" s="683"/>
    </row>
    <row r="119" spans="9:37" s="235" customFormat="1" x14ac:dyDescent="0.25">
      <c r="I119" s="683"/>
      <c r="J119" s="683"/>
      <c r="K119" s="683"/>
      <c r="L119" s="683"/>
      <c r="M119" s="684"/>
      <c r="N119" s="684"/>
      <c r="O119" s="683"/>
      <c r="P119" s="683"/>
      <c r="Q119" s="683"/>
      <c r="R119" s="683"/>
      <c r="S119" s="683"/>
      <c r="T119" s="683"/>
      <c r="U119" s="683"/>
      <c r="V119" s="683"/>
      <c r="W119" s="683"/>
      <c r="X119" s="683"/>
      <c r="Y119" s="683"/>
      <c r="Z119" s="683"/>
      <c r="AA119" s="683"/>
      <c r="AB119" s="683"/>
      <c r="AC119" s="683"/>
      <c r="AD119" s="683"/>
      <c r="AE119" s="683"/>
      <c r="AF119" s="683"/>
      <c r="AG119" s="683"/>
      <c r="AH119" s="683"/>
      <c r="AI119" s="683"/>
      <c r="AJ119" s="683"/>
      <c r="AK119" s="683"/>
    </row>
    <row r="120" spans="9:37" s="235" customFormat="1" x14ac:dyDescent="0.25">
      <c r="I120" s="683"/>
      <c r="J120" s="683"/>
      <c r="K120" s="683"/>
      <c r="L120" s="683"/>
      <c r="M120" s="684"/>
      <c r="N120" s="684"/>
      <c r="O120" s="683"/>
      <c r="P120" s="683"/>
      <c r="Q120" s="683"/>
      <c r="R120" s="683"/>
      <c r="S120" s="683"/>
      <c r="T120" s="683"/>
      <c r="U120" s="683"/>
      <c r="V120" s="683"/>
      <c r="W120" s="683"/>
      <c r="X120" s="683"/>
      <c r="Y120" s="683"/>
      <c r="Z120" s="683"/>
      <c r="AA120" s="683"/>
      <c r="AB120" s="683"/>
      <c r="AC120" s="683"/>
      <c r="AD120" s="683"/>
      <c r="AE120" s="683"/>
      <c r="AF120" s="683"/>
      <c r="AG120" s="683"/>
      <c r="AH120" s="683"/>
      <c r="AI120" s="683"/>
      <c r="AJ120" s="683"/>
      <c r="AK120" s="683"/>
    </row>
    <row r="121" spans="9:37" s="235" customFormat="1" x14ac:dyDescent="0.25">
      <c r="I121" s="683"/>
      <c r="J121" s="683"/>
      <c r="K121" s="683"/>
      <c r="L121" s="683"/>
      <c r="M121" s="684"/>
      <c r="N121" s="684"/>
      <c r="O121" s="683"/>
      <c r="P121" s="683"/>
      <c r="Q121" s="683"/>
      <c r="R121" s="683"/>
      <c r="S121" s="683"/>
      <c r="T121" s="683"/>
      <c r="U121" s="683"/>
      <c r="V121" s="683"/>
      <c r="W121" s="683"/>
      <c r="X121" s="683"/>
      <c r="Y121" s="683"/>
      <c r="Z121" s="683"/>
      <c r="AA121" s="683"/>
      <c r="AB121" s="683"/>
      <c r="AC121" s="683"/>
      <c r="AD121" s="683"/>
      <c r="AE121" s="683"/>
      <c r="AF121" s="683"/>
      <c r="AG121" s="683"/>
      <c r="AH121" s="683"/>
      <c r="AI121" s="683"/>
      <c r="AJ121" s="683"/>
      <c r="AK121" s="683"/>
    </row>
    <row r="122" spans="9:37" s="235" customFormat="1" x14ac:dyDescent="0.25">
      <c r="I122" s="683"/>
      <c r="J122" s="683"/>
      <c r="K122" s="683"/>
      <c r="L122" s="683"/>
      <c r="M122" s="684"/>
      <c r="N122" s="684"/>
      <c r="O122" s="683"/>
      <c r="P122" s="683"/>
      <c r="Q122" s="683"/>
      <c r="R122" s="683"/>
      <c r="S122" s="683"/>
      <c r="T122" s="683"/>
      <c r="U122" s="683"/>
      <c r="V122" s="683"/>
      <c r="W122" s="683"/>
      <c r="X122" s="683"/>
      <c r="Y122" s="683"/>
      <c r="Z122" s="683"/>
      <c r="AA122" s="683"/>
      <c r="AB122" s="683"/>
      <c r="AC122" s="683"/>
      <c r="AD122" s="683"/>
      <c r="AE122" s="683"/>
      <c r="AF122" s="683"/>
      <c r="AG122" s="683"/>
      <c r="AH122" s="683"/>
      <c r="AI122" s="683"/>
      <c r="AJ122" s="683"/>
      <c r="AK122" s="683"/>
    </row>
    <row r="123" spans="9:37" s="235" customFormat="1" x14ac:dyDescent="0.25">
      <c r="I123" s="683"/>
      <c r="J123" s="683"/>
      <c r="K123" s="683"/>
      <c r="L123" s="683"/>
      <c r="M123" s="684"/>
      <c r="N123" s="684"/>
      <c r="O123" s="683"/>
      <c r="P123" s="683"/>
      <c r="Q123" s="683"/>
      <c r="R123" s="683"/>
      <c r="S123" s="683"/>
      <c r="T123" s="683"/>
      <c r="U123" s="683"/>
      <c r="V123" s="683"/>
      <c r="W123" s="683"/>
      <c r="X123" s="683"/>
      <c r="Y123" s="683"/>
      <c r="Z123" s="683"/>
      <c r="AA123" s="683"/>
      <c r="AB123" s="683"/>
      <c r="AC123" s="683"/>
      <c r="AD123" s="683"/>
      <c r="AE123" s="683"/>
      <c r="AF123" s="683"/>
      <c r="AG123" s="683"/>
      <c r="AH123" s="683"/>
      <c r="AI123" s="683"/>
      <c r="AJ123" s="683"/>
      <c r="AK123" s="683"/>
    </row>
    <row r="124" spans="9:37" s="235" customFormat="1" x14ac:dyDescent="0.25">
      <c r="I124" s="683"/>
      <c r="J124" s="683"/>
      <c r="K124" s="683"/>
      <c r="L124" s="683"/>
      <c r="M124" s="684"/>
      <c r="N124" s="684"/>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3"/>
    </row>
    <row r="125" spans="9:37" s="235" customFormat="1" x14ac:dyDescent="0.25">
      <c r="I125" s="683"/>
      <c r="J125" s="683"/>
      <c r="K125" s="683"/>
      <c r="L125" s="683"/>
      <c r="M125" s="684"/>
      <c r="N125" s="684"/>
      <c r="O125" s="683"/>
      <c r="P125" s="683"/>
      <c r="Q125" s="683"/>
      <c r="R125" s="683"/>
      <c r="S125" s="683"/>
      <c r="T125" s="683"/>
      <c r="U125" s="683"/>
      <c r="V125" s="683"/>
      <c r="W125" s="683"/>
      <c r="X125" s="683"/>
      <c r="Y125" s="683"/>
      <c r="Z125" s="683"/>
      <c r="AA125" s="683"/>
      <c r="AB125" s="683"/>
      <c r="AC125" s="683"/>
      <c r="AD125" s="683"/>
      <c r="AE125" s="683"/>
      <c r="AF125" s="683"/>
      <c r="AG125" s="683"/>
      <c r="AH125" s="683"/>
      <c r="AI125" s="683"/>
      <c r="AJ125" s="683"/>
      <c r="AK125" s="683"/>
    </row>
    <row r="126" spans="9:37" s="235" customFormat="1" x14ac:dyDescent="0.25">
      <c r="I126" s="683"/>
      <c r="J126" s="683"/>
      <c r="K126" s="683"/>
      <c r="L126" s="683"/>
      <c r="M126" s="684"/>
      <c r="N126" s="684"/>
      <c r="O126" s="683"/>
      <c r="P126" s="683"/>
      <c r="Q126" s="683"/>
      <c r="R126" s="683"/>
      <c r="S126" s="683"/>
      <c r="T126" s="683"/>
      <c r="U126" s="683"/>
      <c r="V126" s="683"/>
      <c r="W126" s="683"/>
      <c r="X126" s="683"/>
      <c r="Y126" s="683"/>
      <c r="Z126" s="683"/>
      <c r="AA126" s="683"/>
      <c r="AB126" s="683"/>
      <c r="AC126" s="683"/>
      <c r="AD126" s="683"/>
      <c r="AE126" s="683"/>
      <c r="AF126" s="683"/>
      <c r="AG126" s="683"/>
      <c r="AH126" s="683"/>
      <c r="AI126" s="683"/>
      <c r="AJ126" s="683"/>
      <c r="AK126" s="683"/>
    </row>
    <row r="127" spans="9:37" s="235" customFormat="1" x14ac:dyDescent="0.25">
      <c r="I127" s="683"/>
      <c r="J127" s="683"/>
      <c r="K127" s="683"/>
      <c r="L127" s="683"/>
      <c r="M127" s="684"/>
      <c r="N127" s="684"/>
      <c r="O127" s="683"/>
      <c r="P127" s="683"/>
      <c r="Q127" s="683"/>
      <c r="R127" s="683"/>
      <c r="S127" s="683"/>
      <c r="T127" s="683"/>
      <c r="U127" s="683"/>
      <c r="V127" s="683"/>
      <c r="W127" s="683"/>
      <c r="X127" s="683"/>
      <c r="Y127" s="683"/>
      <c r="Z127" s="683"/>
      <c r="AA127" s="683"/>
      <c r="AB127" s="683"/>
      <c r="AC127" s="683"/>
      <c r="AD127" s="683"/>
      <c r="AE127" s="683"/>
      <c r="AF127" s="683"/>
      <c r="AG127" s="683"/>
      <c r="AH127" s="683"/>
      <c r="AI127" s="683"/>
      <c r="AJ127" s="683"/>
      <c r="AK127" s="683"/>
    </row>
    <row r="128" spans="9:37" s="235" customFormat="1" x14ac:dyDescent="0.25">
      <c r="I128" s="683"/>
      <c r="J128" s="683"/>
      <c r="K128" s="683"/>
      <c r="L128" s="683"/>
      <c r="M128" s="684"/>
      <c r="N128" s="684"/>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3"/>
    </row>
    <row r="129" spans="9:37" s="235" customFormat="1" x14ac:dyDescent="0.25">
      <c r="I129" s="683"/>
      <c r="J129" s="683"/>
      <c r="K129" s="683"/>
      <c r="L129" s="683"/>
      <c r="M129" s="684"/>
      <c r="N129" s="684"/>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683"/>
      <c r="AK129" s="683"/>
    </row>
    <row r="130" spans="9:37" s="235" customFormat="1" x14ac:dyDescent="0.25">
      <c r="I130" s="683"/>
      <c r="J130" s="683"/>
      <c r="K130" s="683"/>
      <c r="L130" s="683"/>
      <c r="M130" s="684"/>
      <c r="N130" s="684"/>
      <c r="O130" s="683"/>
      <c r="P130" s="683"/>
      <c r="Q130" s="683"/>
      <c r="R130" s="683"/>
      <c r="S130" s="683"/>
      <c r="T130" s="683"/>
      <c r="U130" s="683"/>
      <c r="V130" s="683"/>
      <c r="W130" s="683"/>
      <c r="X130" s="683"/>
      <c r="Y130" s="683"/>
      <c r="Z130" s="683"/>
      <c r="AA130" s="683"/>
      <c r="AB130" s="683"/>
      <c r="AC130" s="683"/>
      <c r="AD130" s="683"/>
      <c r="AE130" s="683"/>
      <c r="AF130" s="683"/>
      <c r="AG130" s="683"/>
      <c r="AH130" s="683"/>
      <c r="AI130" s="683"/>
      <c r="AJ130" s="683"/>
      <c r="AK130" s="683"/>
    </row>
    <row r="131" spans="9:37" s="235" customFormat="1" x14ac:dyDescent="0.25">
      <c r="I131" s="683"/>
      <c r="J131" s="683"/>
      <c r="K131" s="683"/>
      <c r="L131" s="683"/>
      <c r="M131" s="684"/>
      <c r="N131" s="684"/>
      <c r="O131" s="683"/>
      <c r="P131" s="683"/>
      <c r="Q131" s="683"/>
      <c r="R131" s="683"/>
      <c r="S131" s="683"/>
      <c r="T131" s="683"/>
      <c r="U131" s="683"/>
      <c r="V131" s="683"/>
      <c r="W131" s="683"/>
      <c r="X131" s="683"/>
      <c r="Y131" s="683"/>
      <c r="Z131" s="683"/>
      <c r="AA131" s="683"/>
      <c r="AB131" s="683"/>
      <c r="AC131" s="683"/>
      <c r="AD131" s="683"/>
      <c r="AE131" s="683"/>
      <c r="AF131" s="683"/>
      <c r="AG131" s="683"/>
      <c r="AH131" s="683"/>
      <c r="AI131" s="683"/>
      <c r="AJ131" s="683"/>
      <c r="AK131" s="683"/>
    </row>
    <row r="132" spans="9:37" s="235" customFormat="1" x14ac:dyDescent="0.25">
      <c r="I132" s="683"/>
      <c r="J132" s="683"/>
      <c r="K132" s="683"/>
      <c r="L132" s="683"/>
      <c r="M132" s="684"/>
      <c r="N132" s="684"/>
      <c r="O132" s="683"/>
      <c r="P132" s="683"/>
      <c r="Q132" s="683"/>
      <c r="R132" s="683"/>
      <c r="S132" s="683"/>
      <c r="T132" s="683"/>
      <c r="U132" s="683"/>
      <c r="V132" s="683"/>
      <c r="W132" s="683"/>
      <c r="X132" s="683"/>
      <c r="Y132" s="683"/>
      <c r="Z132" s="683"/>
      <c r="AA132" s="683"/>
      <c r="AB132" s="683"/>
      <c r="AC132" s="683"/>
      <c r="AD132" s="683"/>
      <c r="AE132" s="683"/>
      <c r="AF132" s="683"/>
      <c r="AG132" s="683"/>
      <c r="AH132" s="683"/>
      <c r="AI132" s="683"/>
      <c r="AJ132" s="683"/>
      <c r="AK132" s="683"/>
    </row>
    <row r="133" spans="9:37" s="235" customFormat="1" x14ac:dyDescent="0.25">
      <c r="I133" s="683"/>
      <c r="J133" s="683"/>
      <c r="K133" s="683"/>
      <c r="L133" s="683"/>
      <c r="M133" s="684"/>
      <c r="N133" s="684"/>
      <c r="O133" s="683"/>
      <c r="P133" s="683"/>
      <c r="Q133" s="683"/>
      <c r="R133" s="683"/>
      <c r="S133" s="683"/>
      <c r="T133" s="683"/>
      <c r="U133" s="683"/>
      <c r="V133" s="683"/>
      <c r="W133" s="683"/>
      <c r="X133" s="683"/>
      <c r="Y133" s="683"/>
      <c r="Z133" s="683"/>
      <c r="AA133" s="683"/>
      <c r="AB133" s="683"/>
      <c r="AC133" s="683"/>
      <c r="AD133" s="683"/>
      <c r="AE133" s="683"/>
      <c r="AF133" s="683"/>
      <c r="AG133" s="683"/>
      <c r="AH133" s="683"/>
      <c r="AI133" s="683"/>
      <c r="AJ133" s="683"/>
      <c r="AK133" s="683"/>
    </row>
    <row r="134" spans="9:37" s="235" customFormat="1" x14ac:dyDescent="0.25">
      <c r="I134" s="683"/>
      <c r="J134" s="683"/>
      <c r="K134" s="683"/>
      <c r="L134" s="683"/>
      <c r="M134" s="684"/>
      <c r="N134" s="684"/>
      <c r="O134" s="683"/>
      <c r="P134" s="683"/>
      <c r="Q134" s="683"/>
      <c r="R134" s="683"/>
      <c r="S134" s="683"/>
      <c r="T134" s="683"/>
      <c r="U134" s="683"/>
      <c r="V134" s="683"/>
      <c r="W134" s="683"/>
      <c r="X134" s="683"/>
      <c r="Y134" s="683"/>
      <c r="Z134" s="683"/>
      <c r="AA134" s="683"/>
      <c r="AB134" s="683"/>
      <c r="AC134" s="683"/>
      <c r="AD134" s="683"/>
      <c r="AE134" s="683"/>
      <c r="AF134" s="683"/>
      <c r="AG134" s="683"/>
      <c r="AH134" s="683"/>
      <c r="AI134" s="683"/>
      <c r="AJ134" s="683"/>
      <c r="AK134" s="683"/>
    </row>
    <row r="135" spans="9:37" s="235" customFormat="1" x14ac:dyDescent="0.25">
      <c r="I135" s="683"/>
      <c r="J135" s="683"/>
      <c r="K135" s="683"/>
      <c r="L135" s="683"/>
      <c r="M135" s="684"/>
      <c r="N135" s="684"/>
      <c r="O135" s="683"/>
      <c r="P135" s="683"/>
      <c r="Q135" s="683"/>
      <c r="R135" s="683"/>
      <c r="S135" s="683"/>
      <c r="T135" s="683"/>
      <c r="U135" s="683"/>
      <c r="V135" s="683"/>
      <c r="W135" s="683"/>
      <c r="X135" s="683"/>
      <c r="Y135" s="683"/>
      <c r="Z135" s="683"/>
      <c r="AA135" s="683"/>
      <c r="AB135" s="683"/>
      <c r="AC135" s="683"/>
      <c r="AD135" s="683"/>
      <c r="AE135" s="683"/>
      <c r="AF135" s="683"/>
      <c r="AG135" s="683"/>
      <c r="AH135" s="683"/>
      <c r="AI135" s="683"/>
      <c r="AJ135" s="683"/>
      <c r="AK135" s="683"/>
    </row>
    <row r="136" spans="9:37" s="235" customFormat="1" x14ac:dyDescent="0.25">
      <c r="I136" s="683"/>
      <c r="J136" s="683"/>
      <c r="K136" s="683"/>
      <c r="L136" s="683"/>
      <c r="M136" s="684"/>
      <c r="N136" s="684"/>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3"/>
    </row>
    <row r="137" spans="9:37" s="235" customFormat="1" x14ac:dyDescent="0.25">
      <c r="I137" s="683"/>
      <c r="J137" s="683"/>
      <c r="K137" s="683"/>
      <c r="L137" s="683"/>
      <c r="M137" s="684"/>
      <c r="N137" s="684"/>
      <c r="O137" s="683"/>
      <c r="P137" s="683"/>
      <c r="Q137" s="683"/>
      <c r="R137" s="683"/>
      <c r="S137" s="683"/>
      <c r="T137" s="683"/>
      <c r="U137" s="683"/>
      <c r="V137" s="683"/>
      <c r="W137" s="683"/>
      <c r="X137" s="683"/>
      <c r="Y137" s="683"/>
      <c r="Z137" s="683"/>
      <c r="AA137" s="683"/>
      <c r="AB137" s="683"/>
      <c r="AC137" s="683"/>
      <c r="AD137" s="683"/>
      <c r="AE137" s="683"/>
      <c r="AF137" s="683"/>
      <c r="AG137" s="683"/>
      <c r="AH137" s="683"/>
      <c r="AI137" s="683"/>
      <c r="AJ137" s="683"/>
      <c r="AK137" s="683"/>
    </row>
    <row r="138" spans="9:37" s="235" customFormat="1" x14ac:dyDescent="0.25">
      <c r="I138" s="683"/>
      <c r="J138" s="683"/>
      <c r="K138" s="683"/>
      <c r="L138" s="683"/>
      <c r="M138" s="684"/>
      <c r="N138" s="684"/>
      <c r="O138" s="683"/>
      <c r="P138" s="683"/>
      <c r="Q138" s="683"/>
      <c r="R138" s="683"/>
      <c r="S138" s="683"/>
      <c r="T138" s="683"/>
      <c r="U138" s="683"/>
      <c r="V138" s="683"/>
      <c r="W138" s="683"/>
      <c r="X138" s="683"/>
      <c r="Y138" s="683"/>
      <c r="Z138" s="683"/>
      <c r="AA138" s="683"/>
      <c r="AB138" s="683"/>
      <c r="AC138" s="683"/>
      <c r="AD138" s="683"/>
      <c r="AE138" s="683"/>
      <c r="AF138" s="683"/>
      <c r="AG138" s="683"/>
      <c r="AH138" s="683"/>
      <c r="AI138" s="683"/>
      <c r="AJ138" s="683"/>
      <c r="AK138" s="683"/>
    </row>
    <row r="139" spans="9:37" s="235" customFormat="1" x14ac:dyDescent="0.25">
      <c r="I139" s="683"/>
      <c r="J139" s="683"/>
      <c r="K139" s="683"/>
      <c r="L139" s="683"/>
      <c r="M139" s="684"/>
      <c r="N139" s="684"/>
      <c r="O139" s="683"/>
      <c r="P139" s="683"/>
      <c r="Q139" s="683"/>
      <c r="R139" s="683"/>
      <c r="S139" s="683"/>
      <c r="T139" s="683"/>
      <c r="U139" s="683"/>
      <c r="V139" s="683"/>
      <c r="W139" s="683"/>
      <c r="X139" s="683"/>
      <c r="Y139" s="683"/>
      <c r="Z139" s="683"/>
      <c r="AA139" s="683"/>
      <c r="AB139" s="683"/>
      <c r="AC139" s="683"/>
      <c r="AD139" s="683"/>
      <c r="AE139" s="683"/>
      <c r="AF139" s="683"/>
      <c r="AG139" s="683"/>
      <c r="AH139" s="683"/>
      <c r="AI139" s="683"/>
      <c r="AJ139" s="683"/>
      <c r="AK139" s="683"/>
    </row>
    <row r="140" spans="9:37" s="235" customFormat="1" x14ac:dyDescent="0.25">
      <c r="I140" s="683"/>
      <c r="J140" s="683"/>
      <c r="K140" s="683"/>
      <c r="L140" s="683"/>
      <c r="M140" s="684"/>
      <c r="N140" s="684"/>
      <c r="O140" s="683"/>
      <c r="P140" s="683"/>
      <c r="Q140" s="683"/>
      <c r="R140" s="683"/>
      <c r="S140" s="683"/>
      <c r="T140" s="683"/>
      <c r="U140" s="683"/>
      <c r="V140" s="683"/>
      <c r="W140" s="683"/>
      <c r="X140" s="683"/>
      <c r="Y140" s="683"/>
      <c r="Z140" s="683"/>
      <c r="AA140" s="683"/>
      <c r="AB140" s="683"/>
      <c r="AC140" s="683"/>
      <c r="AD140" s="683"/>
      <c r="AE140" s="683"/>
      <c r="AF140" s="683"/>
      <c r="AG140" s="683"/>
      <c r="AH140" s="683"/>
      <c r="AI140" s="683"/>
      <c r="AJ140" s="683"/>
      <c r="AK140" s="683"/>
    </row>
    <row r="141" spans="9:37" s="235" customFormat="1" x14ac:dyDescent="0.25">
      <c r="I141" s="683"/>
      <c r="J141" s="683"/>
      <c r="K141" s="683"/>
      <c r="L141" s="683"/>
      <c r="M141" s="684"/>
      <c r="N141" s="684"/>
      <c r="O141" s="683"/>
      <c r="P141" s="683"/>
      <c r="Q141" s="683"/>
      <c r="R141" s="683"/>
      <c r="S141" s="683"/>
      <c r="T141" s="683"/>
      <c r="U141" s="683"/>
      <c r="V141" s="683"/>
      <c r="W141" s="683"/>
      <c r="X141" s="683"/>
      <c r="Y141" s="683"/>
      <c r="Z141" s="683"/>
      <c r="AA141" s="683"/>
      <c r="AB141" s="683"/>
      <c r="AC141" s="683"/>
      <c r="AD141" s="683"/>
      <c r="AE141" s="683"/>
      <c r="AF141" s="683"/>
      <c r="AG141" s="683"/>
      <c r="AH141" s="683"/>
      <c r="AI141" s="683"/>
      <c r="AJ141" s="683"/>
      <c r="AK141" s="683"/>
    </row>
    <row r="142" spans="9:37" s="235" customFormat="1" x14ac:dyDescent="0.25">
      <c r="I142" s="683"/>
      <c r="J142" s="683"/>
      <c r="K142" s="683"/>
      <c r="L142" s="683"/>
      <c r="M142" s="684"/>
      <c r="N142" s="684"/>
      <c r="O142" s="683"/>
      <c r="P142" s="683"/>
      <c r="Q142" s="683"/>
      <c r="R142" s="683"/>
      <c r="S142" s="683"/>
      <c r="T142" s="683"/>
      <c r="U142" s="683"/>
      <c r="V142" s="683"/>
      <c r="W142" s="683"/>
      <c r="X142" s="683"/>
      <c r="Y142" s="683"/>
      <c r="Z142" s="683"/>
      <c r="AA142" s="683"/>
      <c r="AB142" s="683"/>
      <c r="AC142" s="683"/>
      <c r="AD142" s="683"/>
      <c r="AE142" s="683"/>
      <c r="AF142" s="683"/>
      <c r="AG142" s="683"/>
      <c r="AH142" s="683"/>
      <c r="AI142" s="683"/>
      <c r="AJ142" s="683"/>
      <c r="AK142" s="683"/>
    </row>
    <row r="143" spans="9:37" s="235" customFormat="1" x14ac:dyDescent="0.25">
      <c r="I143" s="683"/>
      <c r="J143" s="683"/>
      <c r="K143" s="683"/>
      <c r="L143" s="683"/>
      <c r="M143" s="684"/>
      <c r="N143" s="684"/>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c r="AJ143" s="683"/>
      <c r="AK143" s="683"/>
    </row>
    <row r="144" spans="9:37" s="235" customFormat="1" x14ac:dyDescent="0.25">
      <c r="I144" s="683"/>
      <c r="J144" s="683"/>
      <c r="K144" s="683"/>
      <c r="L144" s="683"/>
      <c r="M144" s="684"/>
      <c r="N144" s="684"/>
      <c r="O144" s="683"/>
      <c r="P144" s="683"/>
      <c r="Q144" s="683"/>
      <c r="R144" s="683"/>
      <c r="S144" s="683"/>
      <c r="T144" s="683"/>
      <c r="U144" s="683"/>
      <c r="V144" s="683"/>
      <c r="W144" s="683"/>
      <c r="X144" s="683"/>
      <c r="Y144" s="683"/>
      <c r="Z144" s="683"/>
      <c r="AA144" s="683"/>
      <c r="AB144" s="683"/>
      <c r="AC144" s="683"/>
      <c r="AD144" s="683"/>
      <c r="AE144" s="683"/>
      <c r="AF144" s="683"/>
      <c r="AG144" s="683"/>
      <c r="AH144" s="683"/>
      <c r="AI144" s="683"/>
      <c r="AJ144" s="683"/>
      <c r="AK144" s="683"/>
    </row>
    <row r="145" spans="9:37" s="235" customFormat="1" x14ac:dyDescent="0.25">
      <c r="I145" s="683"/>
      <c r="J145" s="683"/>
      <c r="K145" s="683"/>
      <c r="L145" s="683"/>
      <c r="M145" s="684"/>
      <c r="N145" s="684"/>
      <c r="O145" s="683"/>
      <c r="P145" s="683"/>
      <c r="Q145" s="683"/>
      <c r="R145" s="683"/>
      <c r="S145" s="683"/>
      <c r="T145" s="683"/>
      <c r="U145" s="683"/>
      <c r="V145" s="683"/>
      <c r="W145" s="683"/>
      <c r="X145" s="683"/>
      <c r="Y145" s="683"/>
      <c r="Z145" s="683"/>
      <c r="AA145" s="683"/>
      <c r="AB145" s="683"/>
      <c r="AC145" s="683"/>
      <c r="AD145" s="683"/>
      <c r="AE145" s="683"/>
      <c r="AF145" s="683"/>
      <c r="AG145" s="683"/>
      <c r="AH145" s="683"/>
      <c r="AI145" s="683"/>
      <c r="AJ145" s="683"/>
      <c r="AK145" s="683"/>
    </row>
    <row r="146" spans="9:37" s="235" customFormat="1" x14ac:dyDescent="0.25">
      <c r="I146" s="683"/>
      <c r="J146" s="683"/>
      <c r="K146" s="683"/>
      <c r="L146" s="683"/>
      <c r="M146" s="684"/>
      <c r="N146" s="684"/>
      <c r="O146" s="683"/>
      <c r="P146" s="683"/>
      <c r="Q146" s="683"/>
      <c r="R146" s="683"/>
      <c r="S146" s="683"/>
      <c r="T146" s="683"/>
      <c r="U146" s="683"/>
      <c r="V146" s="683"/>
      <c r="W146" s="683"/>
      <c r="X146" s="683"/>
      <c r="Y146" s="683"/>
      <c r="Z146" s="683"/>
      <c r="AA146" s="683"/>
      <c r="AB146" s="683"/>
      <c r="AC146" s="683"/>
      <c r="AD146" s="683"/>
      <c r="AE146" s="683"/>
      <c r="AF146" s="683"/>
      <c r="AG146" s="683"/>
      <c r="AH146" s="683"/>
      <c r="AI146" s="683"/>
      <c r="AJ146" s="683"/>
      <c r="AK146" s="683"/>
    </row>
    <row r="147" spans="9:37" s="235" customFormat="1" x14ac:dyDescent="0.25">
      <c r="I147" s="683"/>
      <c r="J147" s="683"/>
      <c r="K147" s="683"/>
      <c r="L147" s="683"/>
      <c r="M147" s="684"/>
      <c r="N147" s="684"/>
      <c r="O147" s="683"/>
      <c r="P147" s="683"/>
      <c r="Q147" s="683"/>
      <c r="R147" s="683"/>
      <c r="S147" s="683"/>
      <c r="T147" s="683"/>
      <c r="U147" s="683"/>
      <c r="V147" s="683"/>
      <c r="W147" s="683"/>
      <c r="X147" s="683"/>
      <c r="Y147" s="683"/>
      <c r="Z147" s="683"/>
      <c r="AA147" s="683"/>
      <c r="AB147" s="683"/>
      <c r="AC147" s="683"/>
      <c r="AD147" s="683"/>
      <c r="AE147" s="683"/>
      <c r="AF147" s="683"/>
      <c r="AG147" s="683"/>
      <c r="AH147" s="683"/>
      <c r="AI147" s="683"/>
      <c r="AJ147" s="683"/>
      <c r="AK147" s="683"/>
    </row>
    <row r="148" spans="9:37" s="235" customFormat="1" x14ac:dyDescent="0.25">
      <c r="I148" s="683"/>
      <c r="J148" s="683"/>
      <c r="K148" s="683"/>
      <c r="L148" s="683"/>
      <c r="M148" s="684"/>
      <c r="N148" s="684"/>
      <c r="O148" s="683"/>
      <c r="P148" s="683"/>
      <c r="Q148" s="683"/>
      <c r="R148" s="683"/>
      <c r="S148" s="683"/>
      <c r="T148" s="683"/>
      <c r="U148" s="683"/>
      <c r="V148" s="683"/>
      <c r="W148" s="683"/>
      <c r="X148" s="683"/>
      <c r="Y148" s="683"/>
      <c r="Z148" s="683"/>
      <c r="AA148" s="683"/>
      <c r="AB148" s="683"/>
      <c r="AC148" s="683"/>
      <c r="AD148" s="683"/>
      <c r="AE148" s="683"/>
      <c r="AF148" s="683"/>
      <c r="AG148" s="683"/>
      <c r="AH148" s="683"/>
      <c r="AI148" s="683"/>
      <c r="AJ148" s="683"/>
      <c r="AK148" s="683"/>
    </row>
    <row r="149" spans="9:37" s="235" customFormat="1" x14ac:dyDescent="0.25">
      <c r="I149" s="683"/>
      <c r="J149" s="683"/>
      <c r="K149" s="683"/>
      <c r="L149" s="683"/>
      <c r="M149" s="684"/>
      <c r="N149" s="684"/>
      <c r="O149" s="683"/>
      <c r="P149" s="683"/>
      <c r="Q149" s="683"/>
      <c r="R149" s="683"/>
      <c r="S149" s="683"/>
      <c r="T149" s="683"/>
      <c r="U149" s="683"/>
      <c r="V149" s="683"/>
      <c r="W149" s="683"/>
      <c r="X149" s="683"/>
      <c r="Y149" s="683"/>
      <c r="Z149" s="683"/>
      <c r="AA149" s="683"/>
      <c r="AB149" s="683"/>
      <c r="AC149" s="683"/>
      <c r="AD149" s="683"/>
      <c r="AE149" s="683"/>
      <c r="AF149" s="683"/>
      <c r="AG149" s="683"/>
      <c r="AH149" s="683"/>
      <c r="AI149" s="683"/>
      <c r="AJ149" s="683"/>
      <c r="AK149" s="683"/>
    </row>
    <row r="150" spans="9:37" s="235" customFormat="1" x14ac:dyDescent="0.25">
      <c r="I150" s="683"/>
      <c r="J150" s="683"/>
      <c r="K150" s="683"/>
      <c r="L150" s="683"/>
      <c r="M150" s="684"/>
      <c r="N150" s="684"/>
      <c r="O150" s="683"/>
      <c r="P150" s="683"/>
      <c r="Q150" s="683"/>
      <c r="R150" s="683"/>
      <c r="S150" s="683"/>
      <c r="T150" s="683"/>
      <c r="U150" s="683"/>
      <c r="V150" s="683"/>
      <c r="W150" s="683"/>
      <c r="X150" s="683"/>
      <c r="Y150" s="683"/>
      <c r="Z150" s="683"/>
      <c r="AA150" s="683"/>
      <c r="AB150" s="683"/>
      <c r="AC150" s="683"/>
      <c r="AD150" s="683"/>
      <c r="AE150" s="683"/>
      <c r="AF150" s="683"/>
      <c r="AG150" s="683"/>
      <c r="AH150" s="683"/>
      <c r="AI150" s="683"/>
      <c r="AJ150" s="683"/>
      <c r="AK150" s="683"/>
    </row>
    <row r="151" spans="9:37" s="235" customFormat="1" x14ac:dyDescent="0.25">
      <c r="I151" s="683"/>
      <c r="J151" s="683"/>
      <c r="K151" s="683"/>
      <c r="L151" s="683"/>
      <c r="M151" s="684"/>
      <c r="N151" s="684"/>
      <c r="O151" s="683"/>
      <c r="P151" s="683"/>
      <c r="Q151" s="683"/>
      <c r="R151" s="683"/>
      <c r="S151" s="683"/>
      <c r="T151" s="683"/>
      <c r="U151" s="683"/>
      <c r="V151" s="683"/>
      <c r="W151" s="683"/>
      <c r="X151" s="683"/>
      <c r="Y151" s="683"/>
      <c r="Z151" s="683"/>
      <c r="AA151" s="683"/>
      <c r="AB151" s="683"/>
      <c r="AC151" s="683"/>
      <c r="AD151" s="683"/>
      <c r="AE151" s="683"/>
      <c r="AF151" s="683"/>
      <c r="AG151" s="683"/>
      <c r="AH151" s="683"/>
      <c r="AI151" s="683"/>
      <c r="AJ151" s="683"/>
      <c r="AK151" s="683"/>
    </row>
    <row r="152" spans="9:37" s="235" customFormat="1" x14ac:dyDescent="0.25">
      <c r="I152" s="683"/>
      <c r="J152" s="683"/>
      <c r="K152" s="683"/>
      <c r="L152" s="683"/>
      <c r="M152" s="684"/>
      <c r="N152" s="684"/>
      <c r="O152" s="683"/>
      <c r="P152" s="683"/>
      <c r="Q152" s="683"/>
      <c r="R152" s="683"/>
      <c r="S152" s="683"/>
      <c r="T152" s="683"/>
      <c r="U152" s="683"/>
      <c r="V152" s="683"/>
      <c r="W152" s="683"/>
      <c r="X152" s="683"/>
      <c r="Y152" s="683"/>
      <c r="Z152" s="683"/>
      <c r="AA152" s="683"/>
      <c r="AB152" s="683"/>
      <c r="AC152" s="683"/>
      <c r="AD152" s="683"/>
      <c r="AE152" s="683"/>
      <c r="AF152" s="683"/>
      <c r="AG152" s="683"/>
      <c r="AH152" s="683"/>
      <c r="AI152" s="683"/>
      <c r="AJ152" s="683"/>
      <c r="AK152" s="683"/>
    </row>
    <row r="153" spans="9:37" s="235" customFormat="1" x14ac:dyDescent="0.25">
      <c r="I153" s="683"/>
      <c r="J153" s="683"/>
      <c r="K153" s="683"/>
      <c r="L153" s="683"/>
      <c r="M153" s="684"/>
      <c r="N153" s="684"/>
      <c r="O153" s="683"/>
      <c r="P153" s="683"/>
      <c r="Q153" s="683"/>
      <c r="R153" s="683"/>
      <c r="S153" s="683"/>
      <c r="T153" s="683"/>
      <c r="U153" s="683"/>
      <c r="V153" s="683"/>
      <c r="W153" s="683"/>
      <c r="X153" s="683"/>
      <c r="Y153" s="683"/>
      <c r="Z153" s="683"/>
      <c r="AA153" s="683"/>
      <c r="AB153" s="683"/>
      <c r="AC153" s="683"/>
      <c r="AD153" s="683"/>
      <c r="AE153" s="683"/>
      <c r="AF153" s="683"/>
      <c r="AG153" s="683"/>
      <c r="AH153" s="683"/>
      <c r="AI153" s="683"/>
      <c r="AJ153" s="683"/>
      <c r="AK153" s="683"/>
    </row>
    <row r="154" spans="9:37" s="235" customFormat="1" x14ac:dyDescent="0.25">
      <c r="I154" s="683"/>
      <c r="J154" s="683"/>
      <c r="K154" s="683"/>
      <c r="L154" s="683"/>
      <c r="M154" s="684"/>
      <c r="N154" s="684"/>
      <c r="O154" s="683"/>
      <c r="P154" s="683"/>
      <c r="Q154" s="683"/>
      <c r="R154" s="683"/>
      <c r="S154" s="683"/>
      <c r="T154" s="683"/>
      <c r="U154" s="683"/>
      <c r="V154" s="683"/>
      <c r="W154" s="683"/>
      <c r="X154" s="683"/>
      <c r="Y154" s="683"/>
      <c r="Z154" s="683"/>
      <c r="AA154" s="683"/>
      <c r="AB154" s="683"/>
      <c r="AC154" s="683"/>
      <c r="AD154" s="683"/>
      <c r="AE154" s="683"/>
      <c r="AF154" s="683"/>
      <c r="AG154" s="683"/>
      <c r="AH154" s="683"/>
      <c r="AI154" s="683"/>
      <c r="AJ154" s="683"/>
      <c r="AK154" s="683"/>
    </row>
    <row r="155" spans="9:37" s="235" customFormat="1" x14ac:dyDescent="0.25">
      <c r="I155" s="683"/>
      <c r="J155" s="683"/>
      <c r="K155" s="683"/>
      <c r="L155" s="683"/>
      <c r="M155" s="684"/>
      <c r="N155" s="684"/>
      <c r="O155" s="683"/>
      <c r="P155" s="683"/>
      <c r="Q155" s="683"/>
      <c r="R155" s="683"/>
      <c r="S155" s="683"/>
      <c r="T155" s="683"/>
      <c r="U155" s="683"/>
      <c r="V155" s="683"/>
      <c r="W155" s="683"/>
      <c r="X155" s="683"/>
      <c r="Y155" s="683"/>
      <c r="Z155" s="683"/>
      <c r="AA155" s="683"/>
      <c r="AB155" s="683"/>
      <c r="AC155" s="683"/>
      <c r="AD155" s="683"/>
      <c r="AE155" s="683"/>
      <c r="AF155" s="683"/>
      <c r="AG155" s="683"/>
      <c r="AH155" s="683"/>
      <c r="AI155" s="683"/>
      <c r="AJ155" s="683"/>
      <c r="AK155" s="683"/>
    </row>
    <row r="156" spans="9:37" s="235" customFormat="1" x14ac:dyDescent="0.25">
      <c r="I156" s="683"/>
      <c r="J156" s="683"/>
      <c r="K156" s="683"/>
      <c r="L156" s="683"/>
      <c r="M156" s="684"/>
      <c r="N156" s="684"/>
      <c r="O156" s="683"/>
      <c r="P156" s="683"/>
      <c r="Q156" s="683"/>
      <c r="R156" s="683"/>
      <c r="S156" s="683"/>
      <c r="T156" s="683"/>
      <c r="U156" s="683"/>
      <c r="V156" s="683"/>
      <c r="W156" s="683"/>
      <c r="X156" s="683"/>
      <c r="Y156" s="683"/>
      <c r="Z156" s="683"/>
      <c r="AA156" s="683"/>
      <c r="AB156" s="683"/>
      <c r="AC156" s="683"/>
      <c r="AD156" s="683"/>
      <c r="AE156" s="683"/>
      <c r="AF156" s="683"/>
      <c r="AG156" s="683"/>
      <c r="AH156" s="683"/>
      <c r="AI156" s="683"/>
      <c r="AJ156" s="683"/>
      <c r="AK156" s="683"/>
    </row>
    <row r="157" spans="9:37" s="235" customFormat="1" x14ac:dyDescent="0.25">
      <c r="I157" s="683"/>
      <c r="J157" s="683"/>
      <c r="K157" s="683"/>
      <c r="L157" s="683"/>
      <c r="M157" s="684"/>
      <c r="N157" s="684"/>
      <c r="O157" s="683"/>
      <c r="P157" s="683"/>
      <c r="Q157" s="683"/>
      <c r="R157" s="683"/>
      <c r="S157" s="683"/>
      <c r="T157" s="683"/>
      <c r="U157" s="683"/>
      <c r="V157" s="683"/>
      <c r="W157" s="683"/>
      <c r="X157" s="683"/>
      <c r="Y157" s="683"/>
      <c r="Z157" s="683"/>
      <c r="AA157" s="683"/>
      <c r="AB157" s="683"/>
      <c r="AC157" s="683"/>
      <c r="AD157" s="683"/>
      <c r="AE157" s="683"/>
      <c r="AF157" s="683"/>
      <c r="AG157" s="683"/>
      <c r="AH157" s="683"/>
      <c r="AI157" s="683"/>
      <c r="AJ157" s="683"/>
      <c r="AK157" s="683"/>
    </row>
    <row r="158" spans="9:37" s="235" customFormat="1" x14ac:dyDescent="0.25">
      <c r="I158" s="683"/>
      <c r="J158" s="683"/>
      <c r="K158" s="683"/>
      <c r="L158" s="683"/>
      <c r="M158" s="684"/>
      <c r="N158" s="684"/>
      <c r="O158" s="683"/>
      <c r="P158" s="683"/>
      <c r="Q158" s="683"/>
      <c r="R158" s="683"/>
      <c r="S158" s="683"/>
      <c r="T158" s="683"/>
      <c r="U158" s="683"/>
      <c r="V158" s="683"/>
      <c r="W158" s="683"/>
      <c r="X158" s="683"/>
      <c r="Y158" s="683"/>
      <c r="Z158" s="683"/>
      <c r="AA158" s="683"/>
      <c r="AB158" s="683"/>
      <c r="AC158" s="683"/>
      <c r="AD158" s="683"/>
      <c r="AE158" s="683"/>
      <c r="AF158" s="683"/>
      <c r="AG158" s="683"/>
      <c r="AH158" s="683"/>
      <c r="AI158" s="683"/>
      <c r="AJ158" s="683"/>
      <c r="AK158" s="683"/>
    </row>
    <row r="159" spans="9:37" s="235" customFormat="1" x14ac:dyDescent="0.25">
      <c r="I159" s="683"/>
      <c r="J159" s="683"/>
      <c r="K159" s="683"/>
      <c r="L159" s="683"/>
      <c r="M159" s="684"/>
      <c r="N159" s="684"/>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3"/>
      <c r="AK159" s="683"/>
    </row>
    <row r="160" spans="9:37" s="235" customFormat="1" x14ac:dyDescent="0.25">
      <c r="I160" s="683"/>
      <c r="J160" s="683"/>
      <c r="K160" s="683"/>
      <c r="L160" s="683"/>
      <c r="M160" s="684"/>
      <c r="N160" s="684"/>
      <c r="O160" s="683"/>
      <c r="P160" s="683"/>
      <c r="Q160" s="683"/>
      <c r="R160" s="683"/>
      <c r="S160" s="683"/>
      <c r="T160" s="683"/>
      <c r="U160" s="683"/>
      <c r="V160" s="683"/>
      <c r="W160" s="683"/>
      <c r="X160" s="683"/>
      <c r="Y160" s="683"/>
      <c r="Z160" s="683"/>
      <c r="AA160" s="683"/>
      <c r="AB160" s="683"/>
      <c r="AC160" s="683"/>
      <c r="AD160" s="683"/>
      <c r="AE160" s="683"/>
      <c r="AF160" s="683"/>
      <c r="AG160" s="683"/>
      <c r="AH160" s="683"/>
      <c r="AI160" s="683"/>
      <c r="AJ160" s="683"/>
      <c r="AK160" s="683"/>
    </row>
    <row r="161" spans="9:37" s="235" customFormat="1" x14ac:dyDescent="0.25">
      <c r="I161" s="683"/>
      <c r="J161" s="683"/>
      <c r="K161" s="683"/>
      <c r="L161" s="683"/>
      <c r="M161" s="684"/>
      <c r="N161" s="684"/>
      <c r="O161" s="683"/>
      <c r="P161" s="683"/>
      <c r="Q161" s="683"/>
      <c r="R161" s="683"/>
      <c r="S161" s="683"/>
      <c r="T161" s="683"/>
      <c r="U161" s="683"/>
      <c r="V161" s="683"/>
      <c r="W161" s="683"/>
      <c r="X161" s="683"/>
      <c r="Y161" s="683"/>
      <c r="Z161" s="683"/>
      <c r="AA161" s="683"/>
      <c r="AB161" s="683"/>
      <c r="AC161" s="683"/>
      <c r="AD161" s="683"/>
      <c r="AE161" s="683"/>
      <c r="AF161" s="683"/>
      <c r="AG161" s="683"/>
      <c r="AH161" s="683"/>
      <c r="AI161" s="683"/>
      <c r="AJ161" s="683"/>
      <c r="AK161" s="683"/>
    </row>
    <row r="162" spans="9:37" s="235" customFormat="1" x14ac:dyDescent="0.25">
      <c r="I162" s="683"/>
      <c r="J162" s="683"/>
      <c r="K162" s="683"/>
      <c r="L162" s="683"/>
      <c r="M162" s="684"/>
      <c r="N162" s="684"/>
      <c r="O162" s="683"/>
      <c r="P162" s="683"/>
      <c r="Q162" s="683"/>
      <c r="R162" s="683"/>
      <c r="S162" s="683"/>
      <c r="T162" s="683"/>
      <c r="U162" s="683"/>
      <c r="V162" s="683"/>
      <c r="W162" s="683"/>
      <c r="X162" s="683"/>
      <c r="Y162" s="683"/>
      <c r="Z162" s="683"/>
      <c r="AA162" s="683"/>
      <c r="AB162" s="683"/>
      <c r="AC162" s="683"/>
      <c r="AD162" s="683"/>
      <c r="AE162" s="683"/>
      <c r="AF162" s="683"/>
      <c r="AG162" s="683"/>
      <c r="AH162" s="683"/>
      <c r="AI162" s="683"/>
      <c r="AJ162" s="683"/>
      <c r="AK162" s="683"/>
    </row>
    <row r="163" spans="9:37" s="235" customFormat="1" x14ac:dyDescent="0.25">
      <c r="I163" s="683"/>
      <c r="J163" s="683"/>
      <c r="K163" s="683"/>
      <c r="L163" s="683"/>
      <c r="M163" s="684"/>
      <c r="N163" s="684"/>
      <c r="O163" s="683"/>
      <c r="P163" s="683"/>
      <c r="Q163" s="683"/>
      <c r="R163" s="683"/>
      <c r="S163" s="683"/>
      <c r="T163" s="683"/>
      <c r="U163" s="683"/>
      <c r="V163" s="683"/>
      <c r="W163" s="683"/>
      <c r="X163" s="683"/>
      <c r="Y163" s="683"/>
      <c r="Z163" s="683"/>
      <c r="AA163" s="683"/>
      <c r="AB163" s="683"/>
      <c r="AC163" s="683"/>
      <c r="AD163" s="683"/>
      <c r="AE163" s="683"/>
      <c r="AF163" s="683"/>
      <c r="AG163" s="683"/>
      <c r="AH163" s="683"/>
      <c r="AI163" s="683"/>
      <c r="AJ163" s="683"/>
      <c r="AK163" s="683"/>
    </row>
    <row r="164" spans="9:37" s="235" customFormat="1" x14ac:dyDescent="0.25">
      <c r="I164" s="683"/>
      <c r="J164" s="683"/>
      <c r="K164" s="683"/>
      <c r="L164" s="683"/>
      <c r="M164" s="684"/>
      <c r="N164" s="684"/>
      <c r="O164" s="683"/>
      <c r="P164" s="683"/>
      <c r="Q164" s="683"/>
      <c r="R164" s="683"/>
      <c r="S164" s="683"/>
      <c r="T164" s="683"/>
      <c r="U164" s="683"/>
      <c r="V164" s="683"/>
      <c r="W164" s="683"/>
      <c r="X164" s="683"/>
      <c r="Y164" s="683"/>
      <c r="Z164" s="683"/>
      <c r="AA164" s="683"/>
      <c r="AB164" s="683"/>
      <c r="AC164" s="683"/>
      <c r="AD164" s="683"/>
      <c r="AE164" s="683"/>
      <c r="AF164" s="683"/>
      <c r="AG164" s="683"/>
      <c r="AH164" s="683"/>
      <c r="AI164" s="683"/>
      <c r="AJ164" s="683"/>
      <c r="AK164" s="683"/>
    </row>
    <row r="165" spans="9:37" s="235" customFormat="1" x14ac:dyDescent="0.25">
      <c r="I165" s="683"/>
      <c r="J165" s="683"/>
      <c r="K165" s="683"/>
      <c r="L165" s="683"/>
      <c r="M165" s="684"/>
      <c r="N165" s="684"/>
      <c r="O165" s="683"/>
      <c r="P165" s="683"/>
      <c r="Q165" s="683"/>
      <c r="R165" s="683"/>
      <c r="S165" s="683"/>
      <c r="T165" s="683"/>
      <c r="U165" s="683"/>
      <c r="V165" s="683"/>
      <c r="W165" s="683"/>
      <c r="X165" s="683"/>
      <c r="Y165" s="683"/>
      <c r="Z165" s="683"/>
      <c r="AA165" s="683"/>
      <c r="AB165" s="683"/>
      <c r="AC165" s="683"/>
      <c r="AD165" s="683"/>
      <c r="AE165" s="683"/>
      <c r="AF165" s="683"/>
      <c r="AG165" s="683"/>
      <c r="AH165" s="683"/>
      <c r="AI165" s="683"/>
      <c r="AJ165" s="683"/>
      <c r="AK165" s="683"/>
    </row>
    <row r="166" spans="9:37" s="235" customFormat="1" x14ac:dyDescent="0.25">
      <c r="I166" s="683"/>
      <c r="J166" s="683"/>
      <c r="K166" s="683"/>
      <c r="L166" s="683"/>
      <c r="M166" s="684"/>
      <c r="N166" s="684"/>
      <c r="O166" s="683"/>
      <c r="P166" s="683"/>
      <c r="Q166" s="683"/>
      <c r="R166" s="683"/>
      <c r="S166" s="683"/>
      <c r="T166" s="683"/>
      <c r="U166" s="683"/>
      <c r="V166" s="683"/>
      <c r="W166" s="683"/>
      <c r="X166" s="683"/>
      <c r="Y166" s="683"/>
      <c r="Z166" s="683"/>
      <c r="AA166" s="683"/>
      <c r="AB166" s="683"/>
      <c r="AC166" s="683"/>
      <c r="AD166" s="683"/>
      <c r="AE166" s="683"/>
      <c r="AF166" s="683"/>
      <c r="AG166" s="683"/>
      <c r="AH166" s="683"/>
      <c r="AI166" s="683"/>
      <c r="AJ166" s="683"/>
      <c r="AK166" s="683"/>
    </row>
    <row r="167" spans="9:37" s="235" customFormat="1" x14ac:dyDescent="0.25">
      <c r="I167" s="683"/>
      <c r="J167" s="683"/>
      <c r="K167" s="683"/>
      <c r="L167" s="683"/>
      <c r="M167" s="684"/>
      <c r="N167" s="684"/>
      <c r="O167" s="683"/>
      <c r="P167" s="683"/>
      <c r="Q167" s="683"/>
      <c r="R167" s="683"/>
      <c r="S167" s="683"/>
      <c r="T167" s="683"/>
      <c r="U167" s="683"/>
      <c r="V167" s="683"/>
      <c r="W167" s="683"/>
      <c r="X167" s="683"/>
      <c r="Y167" s="683"/>
      <c r="Z167" s="683"/>
      <c r="AA167" s="683"/>
      <c r="AB167" s="683"/>
      <c r="AC167" s="683"/>
      <c r="AD167" s="683"/>
      <c r="AE167" s="683"/>
      <c r="AF167" s="683"/>
      <c r="AG167" s="683"/>
      <c r="AH167" s="683"/>
      <c r="AI167" s="683"/>
      <c r="AJ167" s="683"/>
      <c r="AK167" s="683"/>
    </row>
    <row r="168" spans="9:37" s="235" customFormat="1" x14ac:dyDescent="0.25">
      <c r="I168" s="683"/>
      <c r="J168" s="683"/>
      <c r="K168" s="683"/>
      <c r="L168" s="683"/>
      <c r="M168" s="684"/>
      <c r="N168" s="684"/>
      <c r="O168" s="683"/>
      <c r="P168" s="683"/>
      <c r="Q168" s="683"/>
      <c r="R168" s="683"/>
      <c r="S168" s="683"/>
      <c r="T168" s="683"/>
      <c r="U168" s="683"/>
      <c r="V168" s="683"/>
      <c r="W168" s="683"/>
      <c r="X168" s="683"/>
      <c r="Y168" s="683"/>
      <c r="Z168" s="683"/>
      <c r="AA168" s="683"/>
      <c r="AB168" s="683"/>
      <c r="AC168" s="683"/>
      <c r="AD168" s="683"/>
      <c r="AE168" s="683"/>
      <c r="AF168" s="683"/>
      <c r="AG168" s="683"/>
      <c r="AH168" s="683"/>
      <c r="AI168" s="683"/>
      <c r="AJ168" s="683"/>
      <c r="AK168" s="683"/>
    </row>
    <row r="169" spans="9:37" s="235" customFormat="1" x14ac:dyDescent="0.25">
      <c r="I169" s="683"/>
      <c r="J169" s="683"/>
      <c r="K169" s="683"/>
      <c r="L169" s="683"/>
      <c r="M169" s="684"/>
      <c r="N169" s="684"/>
      <c r="O169" s="683"/>
      <c r="P169" s="683"/>
      <c r="Q169" s="683"/>
      <c r="R169" s="683"/>
      <c r="S169" s="683"/>
      <c r="T169" s="683"/>
      <c r="U169" s="683"/>
      <c r="V169" s="683"/>
      <c r="W169" s="683"/>
      <c r="X169" s="683"/>
      <c r="Y169" s="683"/>
      <c r="Z169" s="683"/>
      <c r="AA169" s="683"/>
      <c r="AB169" s="683"/>
      <c r="AC169" s="683"/>
      <c r="AD169" s="683"/>
      <c r="AE169" s="683"/>
      <c r="AF169" s="683"/>
      <c r="AG169" s="683"/>
      <c r="AH169" s="683"/>
      <c r="AI169" s="683"/>
      <c r="AJ169" s="683"/>
      <c r="AK169" s="683"/>
    </row>
    <row r="170" spans="9:37" s="235" customFormat="1" x14ac:dyDescent="0.25">
      <c r="I170" s="683"/>
      <c r="J170" s="683"/>
      <c r="K170" s="683"/>
      <c r="L170" s="683"/>
      <c r="M170" s="684"/>
      <c r="N170" s="684"/>
      <c r="O170" s="683"/>
      <c r="P170" s="683"/>
      <c r="Q170" s="683"/>
      <c r="R170" s="683"/>
      <c r="S170" s="683"/>
      <c r="T170" s="683"/>
      <c r="U170" s="683"/>
      <c r="V170" s="683"/>
      <c r="W170" s="683"/>
      <c r="X170" s="683"/>
      <c r="Y170" s="683"/>
      <c r="Z170" s="683"/>
      <c r="AA170" s="683"/>
      <c r="AB170" s="683"/>
      <c r="AC170" s="683"/>
      <c r="AD170" s="683"/>
      <c r="AE170" s="683"/>
      <c r="AF170" s="683"/>
      <c r="AG170" s="683"/>
      <c r="AH170" s="683"/>
      <c r="AI170" s="683"/>
      <c r="AJ170" s="683"/>
      <c r="AK170" s="683"/>
    </row>
    <row r="171" spans="9:37" s="235" customFormat="1" x14ac:dyDescent="0.25">
      <c r="I171" s="683"/>
      <c r="J171" s="683"/>
      <c r="K171" s="683"/>
      <c r="L171" s="683"/>
      <c r="M171" s="684"/>
      <c r="N171" s="684"/>
      <c r="O171" s="683"/>
      <c r="P171" s="683"/>
      <c r="Q171" s="683"/>
      <c r="R171" s="683"/>
      <c r="S171" s="683"/>
      <c r="T171" s="683"/>
      <c r="U171" s="683"/>
      <c r="V171" s="683"/>
      <c r="W171" s="683"/>
      <c r="X171" s="683"/>
      <c r="Y171" s="683"/>
      <c r="Z171" s="683"/>
      <c r="AA171" s="683"/>
      <c r="AB171" s="683"/>
      <c r="AC171" s="683"/>
      <c r="AD171" s="683"/>
      <c r="AE171" s="683"/>
      <c r="AF171" s="683"/>
      <c r="AG171" s="683"/>
      <c r="AH171" s="683"/>
      <c r="AI171" s="683"/>
      <c r="AJ171" s="683"/>
      <c r="AK171" s="683"/>
    </row>
    <row r="172" spans="9:37" s="235" customFormat="1" x14ac:dyDescent="0.25">
      <c r="I172" s="683"/>
      <c r="J172" s="683"/>
      <c r="K172" s="683"/>
      <c r="L172" s="683"/>
      <c r="M172" s="684"/>
      <c r="N172" s="684"/>
      <c r="O172" s="683"/>
      <c r="P172" s="683"/>
      <c r="Q172" s="683"/>
      <c r="R172" s="683"/>
      <c r="S172" s="683"/>
      <c r="T172" s="683"/>
      <c r="U172" s="683"/>
      <c r="V172" s="683"/>
      <c r="W172" s="683"/>
      <c r="X172" s="683"/>
      <c r="Y172" s="683"/>
      <c r="Z172" s="683"/>
      <c r="AA172" s="683"/>
      <c r="AB172" s="683"/>
      <c r="AC172" s="683"/>
      <c r="AD172" s="683"/>
      <c r="AE172" s="683"/>
      <c r="AF172" s="683"/>
      <c r="AG172" s="683"/>
      <c r="AH172" s="683"/>
      <c r="AI172" s="683"/>
      <c r="AJ172" s="683"/>
      <c r="AK172" s="683"/>
    </row>
    <row r="173" spans="9:37" s="235" customFormat="1" x14ac:dyDescent="0.25">
      <c r="I173" s="683"/>
      <c r="J173" s="683"/>
      <c r="K173" s="683"/>
      <c r="L173" s="683"/>
      <c r="M173" s="684"/>
      <c r="N173" s="684"/>
      <c r="O173" s="683"/>
      <c r="P173" s="683"/>
      <c r="Q173" s="683"/>
      <c r="R173" s="683"/>
      <c r="S173" s="683"/>
      <c r="T173" s="683"/>
      <c r="U173" s="683"/>
      <c r="V173" s="683"/>
      <c r="W173" s="683"/>
      <c r="X173" s="683"/>
      <c r="Y173" s="683"/>
      <c r="Z173" s="683"/>
      <c r="AA173" s="683"/>
      <c r="AB173" s="683"/>
      <c r="AC173" s="683"/>
      <c r="AD173" s="683"/>
      <c r="AE173" s="683"/>
      <c r="AF173" s="683"/>
      <c r="AG173" s="683"/>
      <c r="AH173" s="683"/>
      <c r="AI173" s="683"/>
      <c r="AJ173" s="683"/>
      <c r="AK173" s="683"/>
    </row>
    <row r="174" spans="9:37" s="235" customFormat="1" x14ac:dyDescent="0.25">
      <c r="I174" s="683"/>
      <c r="J174" s="683"/>
      <c r="K174" s="683"/>
      <c r="L174" s="683"/>
      <c r="M174" s="684"/>
      <c r="N174" s="684"/>
      <c r="O174" s="683"/>
      <c r="P174" s="683"/>
      <c r="Q174" s="683"/>
      <c r="R174" s="683"/>
      <c r="S174" s="683"/>
      <c r="T174" s="683"/>
      <c r="U174" s="683"/>
      <c r="V174" s="683"/>
      <c r="W174" s="683"/>
      <c r="X174" s="683"/>
      <c r="Y174" s="683"/>
      <c r="Z174" s="683"/>
      <c r="AA174" s="683"/>
      <c r="AB174" s="683"/>
      <c r="AC174" s="683"/>
      <c r="AD174" s="683"/>
      <c r="AE174" s="683"/>
      <c r="AF174" s="683"/>
      <c r="AG174" s="683"/>
      <c r="AH174" s="683"/>
      <c r="AI174" s="683"/>
      <c r="AJ174" s="683"/>
      <c r="AK174" s="683"/>
    </row>
    <row r="175" spans="9:37" s="235" customFormat="1" x14ac:dyDescent="0.25">
      <c r="I175" s="683"/>
      <c r="J175" s="683"/>
      <c r="K175" s="683"/>
      <c r="L175" s="683"/>
      <c r="M175" s="684"/>
      <c r="N175" s="684"/>
      <c r="O175" s="683"/>
      <c r="P175" s="683"/>
      <c r="Q175" s="683"/>
      <c r="R175" s="683"/>
      <c r="S175" s="683"/>
      <c r="T175" s="683"/>
      <c r="U175" s="683"/>
      <c r="V175" s="683"/>
      <c r="W175" s="683"/>
      <c r="X175" s="683"/>
      <c r="Y175" s="683"/>
      <c r="Z175" s="683"/>
      <c r="AA175" s="683"/>
      <c r="AB175" s="683"/>
      <c r="AC175" s="683"/>
      <c r="AD175" s="683"/>
      <c r="AE175" s="683"/>
      <c r="AF175" s="683"/>
      <c r="AG175" s="683"/>
      <c r="AH175" s="683"/>
      <c r="AI175" s="683"/>
      <c r="AJ175" s="683"/>
      <c r="AK175" s="683"/>
    </row>
    <row r="176" spans="9:37" s="235" customFormat="1" x14ac:dyDescent="0.25">
      <c r="I176" s="683"/>
      <c r="J176" s="683"/>
      <c r="K176" s="683"/>
      <c r="L176" s="683"/>
      <c r="M176" s="684"/>
      <c r="N176" s="684"/>
      <c r="O176" s="683"/>
      <c r="P176" s="683"/>
      <c r="Q176" s="683"/>
      <c r="R176" s="683"/>
      <c r="S176" s="683"/>
      <c r="T176" s="683"/>
      <c r="U176" s="683"/>
      <c r="V176" s="683"/>
      <c r="W176" s="683"/>
      <c r="X176" s="683"/>
      <c r="Y176" s="683"/>
      <c r="Z176" s="683"/>
      <c r="AA176" s="683"/>
      <c r="AB176" s="683"/>
      <c r="AC176" s="683"/>
      <c r="AD176" s="683"/>
      <c r="AE176" s="683"/>
      <c r="AF176" s="683"/>
      <c r="AG176" s="683"/>
      <c r="AH176" s="683"/>
      <c r="AI176" s="683"/>
      <c r="AJ176" s="683"/>
      <c r="AK176" s="683"/>
    </row>
    <row r="177" spans="9:37" s="235" customFormat="1" x14ac:dyDescent="0.25">
      <c r="I177" s="683"/>
      <c r="J177" s="683"/>
      <c r="K177" s="683"/>
      <c r="L177" s="683"/>
      <c r="M177" s="684"/>
      <c r="N177" s="684"/>
      <c r="O177" s="683"/>
      <c r="P177" s="683"/>
      <c r="Q177" s="683"/>
      <c r="R177" s="683"/>
      <c r="S177" s="683"/>
      <c r="T177" s="683"/>
      <c r="U177" s="683"/>
      <c r="V177" s="683"/>
      <c r="W177" s="683"/>
      <c r="X177" s="683"/>
      <c r="Y177" s="683"/>
      <c r="Z177" s="683"/>
      <c r="AA177" s="683"/>
      <c r="AB177" s="683"/>
      <c r="AC177" s="683"/>
      <c r="AD177" s="683"/>
      <c r="AE177" s="683"/>
      <c r="AF177" s="683"/>
      <c r="AG177" s="683"/>
      <c r="AH177" s="683"/>
      <c r="AI177" s="683"/>
      <c r="AJ177" s="683"/>
      <c r="AK177" s="683"/>
    </row>
    <row r="178" spans="9:37" s="235" customFormat="1" x14ac:dyDescent="0.25">
      <c r="I178" s="683"/>
      <c r="J178" s="683"/>
      <c r="K178" s="683"/>
      <c r="L178" s="683"/>
      <c r="M178" s="684"/>
      <c r="N178" s="684"/>
      <c r="O178" s="683"/>
      <c r="P178" s="683"/>
      <c r="Q178" s="683"/>
      <c r="R178" s="683"/>
      <c r="S178" s="683"/>
      <c r="T178" s="683"/>
      <c r="U178" s="683"/>
      <c r="V178" s="683"/>
      <c r="W178" s="683"/>
      <c r="X178" s="683"/>
      <c r="Y178" s="683"/>
      <c r="Z178" s="683"/>
      <c r="AA178" s="683"/>
      <c r="AB178" s="683"/>
      <c r="AC178" s="683"/>
      <c r="AD178" s="683"/>
      <c r="AE178" s="683"/>
      <c r="AF178" s="683"/>
      <c r="AG178" s="683"/>
      <c r="AH178" s="683"/>
      <c r="AI178" s="683"/>
      <c r="AJ178" s="683"/>
      <c r="AK178" s="683"/>
    </row>
    <row r="179" spans="9:37" s="235" customFormat="1" x14ac:dyDescent="0.25">
      <c r="I179" s="683"/>
      <c r="J179" s="683"/>
      <c r="K179" s="683"/>
      <c r="L179" s="683"/>
      <c r="M179" s="684"/>
      <c r="N179" s="684"/>
      <c r="O179" s="683"/>
      <c r="P179" s="683"/>
      <c r="Q179" s="683"/>
      <c r="R179" s="683"/>
      <c r="S179" s="683"/>
      <c r="T179" s="683"/>
      <c r="U179" s="683"/>
      <c r="V179" s="683"/>
      <c r="W179" s="683"/>
      <c r="X179" s="683"/>
      <c r="Y179" s="683"/>
      <c r="Z179" s="683"/>
      <c r="AA179" s="683"/>
      <c r="AB179" s="683"/>
      <c r="AC179" s="683"/>
      <c r="AD179" s="683"/>
      <c r="AE179" s="683"/>
      <c r="AF179" s="683"/>
      <c r="AG179" s="683"/>
      <c r="AH179" s="683"/>
      <c r="AI179" s="683"/>
      <c r="AJ179" s="683"/>
      <c r="AK179" s="683"/>
    </row>
    <row r="180" spans="9:37" s="235" customFormat="1" x14ac:dyDescent="0.25">
      <c r="I180" s="683"/>
      <c r="J180" s="683"/>
      <c r="K180" s="683"/>
      <c r="L180" s="683"/>
      <c r="M180" s="684"/>
      <c r="N180" s="684"/>
      <c r="O180" s="683"/>
      <c r="P180" s="683"/>
      <c r="Q180" s="683"/>
      <c r="R180" s="683"/>
      <c r="S180" s="683"/>
      <c r="T180" s="683"/>
      <c r="U180" s="683"/>
      <c r="V180" s="683"/>
      <c r="W180" s="683"/>
      <c r="X180" s="683"/>
      <c r="Y180" s="683"/>
      <c r="Z180" s="683"/>
      <c r="AA180" s="683"/>
      <c r="AB180" s="683"/>
      <c r="AC180" s="683"/>
      <c r="AD180" s="683"/>
      <c r="AE180" s="683"/>
      <c r="AF180" s="683"/>
      <c r="AG180" s="683"/>
      <c r="AH180" s="683"/>
      <c r="AI180" s="683"/>
      <c r="AJ180" s="683"/>
      <c r="AK180" s="683"/>
    </row>
    <row r="181" spans="9:37" s="235" customFormat="1" x14ac:dyDescent="0.25">
      <c r="I181" s="683"/>
      <c r="J181" s="683"/>
      <c r="K181" s="683"/>
      <c r="L181" s="683"/>
      <c r="M181" s="684"/>
      <c r="N181" s="684"/>
      <c r="O181" s="683"/>
      <c r="P181" s="683"/>
      <c r="Q181" s="683"/>
      <c r="R181" s="683"/>
      <c r="S181" s="683"/>
      <c r="T181" s="683"/>
      <c r="U181" s="683"/>
      <c r="V181" s="683"/>
      <c r="W181" s="683"/>
      <c r="X181" s="683"/>
      <c r="Y181" s="683"/>
      <c r="Z181" s="683"/>
      <c r="AA181" s="683"/>
      <c r="AB181" s="683"/>
      <c r="AC181" s="683"/>
      <c r="AD181" s="683"/>
      <c r="AE181" s="683"/>
      <c r="AF181" s="683"/>
      <c r="AG181" s="683"/>
      <c r="AH181" s="683"/>
      <c r="AI181" s="683"/>
      <c r="AJ181" s="683"/>
      <c r="AK181" s="683"/>
    </row>
    <row r="182" spans="9:37" s="235" customFormat="1" x14ac:dyDescent="0.25">
      <c r="I182" s="683"/>
      <c r="J182" s="683"/>
      <c r="K182" s="683"/>
      <c r="L182" s="683"/>
      <c r="M182" s="684"/>
      <c r="N182" s="684"/>
      <c r="O182" s="683"/>
      <c r="P182" s="683"/>
      <c r="Q182" s="683"/>
      <c r="R182" s="683"/>
      <c r="S182" s="683"/>
      <c r="T182" s="683"/>
      <c r="U182" s="683"/>
      <c r="V182" s="683"/>
      <c r="W182" s="683"/>
      <c r="X182" s="683"/>
      <c r="Y182" s="683"/>
      <c r="Z182" s="683"/>
      <c r="AA182" s="683"/>
      <c r="AB182" s="683"/>
      <c r="AC182" s="683"/>
      <c r="AD182" s="683"/>
      <c r="AE182" s="683"/>
      <c r="AF182" s="683"/>
      <c r="AG182" s="683"/>
      <c r="AH182" s="683"/>
      <c r="AI182" s="683"/>
      <c r="AJ182" s="683"/>
      <c r="AK182" s="683"/>
    </row>
    <row r="183" spans="9:37" s="235" customFormat="1" x14ac:dyDescent="0.25">
      <c r="I183" s="683"/>
      <c r="J183" s="683"/>
      <c r="K183" s="683"/>
      <c r="L183" s="683"/>
      <c r="M183" s="684"/>
      <c r="N183" s="684"/>
      <c r="O183" s="683"/>
      <c r="P183" s="683"/>
      <c r="Q183" s="683"/>
      <c r="R183" s="683"/>
      <c r="S183" s="683"/>
      <c r="T183" s="683"/>
      <c r="U183" s="683"/>
      <c r="V183" s="683"/>
      <c r="W183" s="683"/>
      <c r="X183" s="683"/>
      <c r="Y183" s="683"/>
      <c r="Z183" s="683"/>
      <c r="AA183" s="683"/>
      <c r="AB183" s="683"/>
      <c r="AC183" s="683"/>
      <c r="AD183" s="683"/>
      <c r="AE183" s="683"/>
      <c r="AF183" s="683"/>
      <c r="AG183" s="683"/>
      <c r="AH183" s="683"/>
      <c r="AI183" s="683"/>
      <c r="AJ183" s="683"/>
      <c r="AK183" s="683"/>
    </row>
    <row r="184" spans="9:37" s="235" customFormat="1" x14ac:dyDescent="0.25">
      <c r="I184" s="683"/>
      <c r="J184" s="683"/>
      <c r="K184" s="683"/>
      <c r="L184" s="683"/>
      <c r="M184" s="684"/>
      <c r="N184" s="684"/>
      <c r="O184" s="683"/>
      <c r="P184" s="683"/>
      <c r="Q184" s="683"/>
      <c r="R184" s="683"/>
      <c r="S184" s="683"/>
      <c r="T184" s="683"/>
      <c r="U184" s="683"/>
      <c r="V184" s="683"/>
      <c r="W184" s="683"/>
      <c r="X184" s="683"/>
      <c r="Y184" s="683"/>
      <c r="Z184" s="683"/>
      <c r="AA184" s="683"/>
      <c r="AB184" s="683"/>
      <c r="AC184" s="683"/>
      <c r="AD184" s="683"/>
      <c r="AE184" s="683"/>
      <c r="AF184" s="683"/>
      <c r="AG184" s="683"/>
      <c r="AH184" s="683"/>
      <c r="AI184" s="683"/>
      <c r="AJ184" s="683"/>
      <c r="AK184" s="683"/>
    </row>
    <row r="185" spans="9:37" s="235" customFormat="1" x14ac:dyDescent="0.25">
      <c r="I185" s="683"/>
      <c r="J185" s="683"/>
      <c r="K185" s="683"/>
      <c r="L185" s="683"/>
      <c r="M185" s="684"/>
      <c r="N185" s="684"/>
      <c r="O185" s="683"/>
      <c r="P185" s="683"/>
      <c r="Q185" s="683"/>
      <c r="R185" s="683"/>
      <c r="S185" s="683"/>
      <c r="T185" s="683"/>
      <c r="U185" s="683"/>
      <c r="V185" s="683"/>
      <c r="W185" s="683"/>
      <c r="X185" s="683"/>
      <c r="Y185" s="683"/>
      <c r="Z185" s="683"/>
      <c r="AA185" s="683"/>
      <c r="AB185" s="683"/>
      <c r="AC185" s="683"/>
      <c r="AD185" s="683"/>
      <c r="AE185" s="683"/>
      <c r="AF185" s="683"/>
      <c r="AG185" s="683"/>
      <c r="AH185" s="683"/>
      <c r="AI185" s="683"/>
      <c r="AJ185" s="683"/>
      <c r="AK185" s="683"/>
    </row>
    <row r="186" spans="9:37" s="235" customFormat="1" x14ac:dyDescent="0.25">
      <c r="I186" s="683"/>
      <c r="J186" s="683"/>
      <c r="K186" s="683"/>
      <c r="L186" s="683"/>
      <c r="M186" s="684"/>
      <c r="N186" s="684"/>
      <c r="O186" s="683"/>
      <c r="P186" s="683"/>
      <c r="Q186" s="683"/>
      <c r="R186" s="683"/>
      <c r="S186" s="683"/>
      <c r="T186" s="683"/>
      <c r="U186" s="683"/>
      <c r="V186" s="683"/>
      <c r="W186" s="683"/>
      <c r="X186" s="683"/>
      <c r="Y186" s="683"/>
      <c r="Z186" s="683"/>
      <c r="AA186" s="683"/>
      <c r="AB186" s="683"/>
      <c r="AC186" s="683"/>
      <c r="AD186" s="683"/>
      <c r="AE186" s="683"/>
      <c r="AF186" s="683"/>
      <c r="AG186" s="683"/>
      <c r="AH186" s="683"/>
      <c r="AI186" s="683"/>
      <c r="AJ186" s="683"/>
      <c r="AK186" s="683"/>
    </row>
    <row r="187" spans="9:37" s="235" customFormat="1" x14ac:dyDescent="0.25">
      <c r="I187" s="683"/>
      <c r="J187" s="683"/>
      <c r="K187" s="683"/>
      <c r="L187" s="683"/>
      <c r="M187" s="684"/>
      <c r="N187" s="684"/>
      <c r="O187" s="683"/>
      <c r="P187" s="683"/>
      <c r="Q187" s="683"/>
      <c r="R187" s="683"/>
      <c r="S187" s="683"/>
      <c r="T187" s="683"/>
      <c r="U187" s="683"/>
      <c r="V187" s="683"/>
      <c r="W187" s="683"/>
      <c r="X187" s="683"/>
      <c r="Y187" s="683"/>
      <c r="Z187" s="683"/>
      <c r="AA187" s="683"/>
      <c r="AB187" s="683"/>
      <c r="AC187" s="683"/>
      <c r="AD187" s="683"/>
      <c r="AE187" s="683"/>
      <c r="AF187" s="683"/>
      <c r="AG187" s="683"/>
      <c r="AH187" s="683"/>
      <c r="AI187" s="683"/>
      <c r="AJ187" s="683"/>
      <c r="AK187" s="683"/>
    </row>
    <row r="188" spans="9:37" s="235" customFormat="1" x14ac:dyDescent="0.25">
      <c r="I188" s="683"/>
      <c r="J188" s="683"/>
      <c r="K188" s="683"/>
      <c r="L188" s="683"/>
      <c r="M188" s="684"/>
      <c r="N188" s="684"/>
      <c r="O188" s="683"/>
      <c r="P188" s="683"/>
      <c r="Q188" s="683"/>
      <c r="R188" s="683"/>
      <c r="S188" s="683"/>
      <c r="T188" s="683"/>
      <c r="U188" s="683"/>
      <c r="V188" s="683"/>
      <c r="W188" s="683"/>
      <c r="X188" s="683"/>
      <c r="Y188" s="683"/>
      <c r="Z188" s="683"/>
      <c r="AA188" s="683"/>
      <c r="AB188" s="683"/>
      <c r="AC188" s="683"/>
      <c r="AD188" s="683"/>
      <c r="AE188" s="683"/>
      <c r="AF188" s="683"/>
      <c r="AG188" s="683"/>
      <c r="AH188" s="683"/>
      <c r="AI188" s="683"/>
      <c r="AJ188" s="683"/>
      <c r="AK188" s="683"/>
    </row>
    <row r="189" spans="9:37" s="235" customFormat="1" x14ac:dyDescent="0.25">
      <c r="I189" s="683"/>
      <c r="J189" s="683"/>
      <c r="K189" s="683"/>
      <c r="L189" s="683"/>
      <c r="M189" s="684"/>
      <c r="N189" s="684"/>
      <c r="O189" s="683"/>
      <c r="P189" s="683"/>
      <c r="Q189" s="683"/>
      <c r="R189" s="683"/>
      <c r="S189" s="683"/>
      <c r="T189" s="683"/>
      <c r="U189" s="683"/>
      <c r="V189" s="683"/>
      <c r="W189" s="683"/>
      <c r="X189" s="683"/>
      <c r="Y189" s="683"/>
      <c r="Z189" s="683"/>
      <c r="AA189" s="683"/>
      <c r="AB189" s="683"/>
      <c r="AC189" s="683"/>
      <c r="AD189" s="683"/>
      <c r="AE189" s="683"/>
      <c r="AF189" s="683"/>
      <c r="AG189" s="683"/>
      <c r="AH189" s="683"/>
      <c r="AI189" s="683"/>
      <c r="AJ189" s="683"/>
      <c r="AK189" s="683"/>
    </row>
    <row r="190" spans="9:37" s="235" customFormat="1" x14ac:dyDescent="0.25">
      <c r="I190" s="683"/>
      <c r="J190" s="683"/>
      <c r="K190" s="683"/>
      <c r="L190" s="683"/>
      <c r="M190" s="684"/>
      <c r="N190" s="684"/>
      <c r="O190" s="683"/>
      <c r="P190" s="683"/>
      <c r="Q190" s="683"/>
      <c r="R190" s="683"/>
      <c r="S190" s="683"/>
      <c r="T190" s="683"/>
      <c r="U190" s="683"/>
      <c r="V190" s="683"/>
      <c r="W190" s="683"/>
      <c r="X190" s="683"/>
      <c r="Y190" s="683"/>
      <c r="Z190" s="683"/>
      <c r="AA190" s="683"/>
      <c r="AB190" s="683"/>
      <c r="AC190" s="683"/>
      <c r="AD190" s="683"/>
      <c r="AE190" s="683"/>
      <c r="AF190" s="683"/>
      <c r="AG190" s="683"/>
      <c r="AH190" s="683"/>
      <c r="AI190" s="683"/>
      <c r="AJ190" s="683"/>
      <c r="AK190" s="683"/>
    </row>
    <row r="191" spans="9:37" s="235" customFormat="1" x14ac:dyDescent="0.25">
      <c r="I191" s="683"/>
      <c r="J191" s="683"/>
      <c r="K191" s="683"/>
      <c r="L191" s="683"/>
      <c r="M191" s="684"/>
      <c r="N191" s="684"/>
      <c r="O191" s="683"/>
      <c r="P191" s="683"/>
      <c r="Q191" s="683"/>
      <c r="R191" s="683"/>
      <c r="S191" s="683"/>
      <c r="T191" s="683"/>
      <c r="U191" s="683"/>
      <c r="V191" s="683"/>
      <c r="W191" s="683"/>
      <c r="X191" s="683"/>
      <c r="Y191" s="683"/>
      <c r="Z191" s="683"/>
      <c r="AA191" s="683"/>
      <c r="AB191" s="683"/>
      <c r="AC191" s="683"/>
      <c r="AD191" s="683"/>
      <c r="AE191" s="683"/>
      <c r="AF191" s="683"/>
      <c r="AG191" s="683"/>
      <c r="AH191" s="683"/>
      <c r="AI191" s="683"/>
      <c r="AJ191" s="683"/>
      <c r="AK191" s="683"/>
    </row>
    <row r="192" spans="9:37" s="235" customFormat="1" x14ac:dyDescent="0.25">
      <c r="I192" s="683"/>
      <c r="J192" s="683"/>
      <c r="K192" s="683"/>
      <c r="L192" s="683"/>
      <c r="M192" s="684"/>
      <c r="N192" s="684"/>
      <c r="O192" s="683"/>
      <c r="P192" s="683"/>
      <c r="Q192" s="683"/>
      <c r="R192" s="683"/>
      <c r="S192" s="683"/>
      <c r="T192" s="683"/>
      <c r="U192" s="683"/>
      <c r="V192" s="683"/>
      <c r="W192" s="683"/>
      <c r="X192" s="683"/>
      <c r="Y192" s="683"/>
      <c r="Z192" s="683"/>
      <c r="AA192" s="683"/>
      <c r="AB192" s="683"/>
      <c r="AC192" s="683"/>
      <c r="AD192" s="683"/>
      <c r="AE192" s="683"/>
      <c r="AF192" s="683"/>
      <c r="AG192" s="683"/>
      <c r="AH192" s="683"/>
      <c r="AI192" s="683"/>
      <c r="AJ192" s="683"/>
      <c r="AK192" s="683"/>
    </row>
    <row r="193" spans="9:37" s="235" customFormat="1" x14ac:dyDescent="0.25">
      <c r="I193" s="683"/>
      <c r="J193" s="683"/>
      <c r="K193" s="683"/>
      <c r="L193" s="683"/>
      <c r="M193" s="684"/>
      <c r="N193" s="684"/>
      <c r="O193" s="683"/>
      <c r="P193" s="683"/>
      <c r="Q193" s="683"/>
      <c r="R193" s="683"/>
      <c r="S193" s="683"/>
      <c r="T193" s="683"/>
      <c r="U193" s="683"/>
      <c r="V193" s="683"/>
      <c r="W193" s="683"/>
      <c r="X193" s="683"/>
      <c r="Y193" s="683"/>
      <c r="Z193" s="683"/>
      <c r="AA193" s="683"/>
      <c r="AB193" s="683"/>
      <c r="AC193" s="683"/>
      <c r="AD193" s="683"/>
      <c r="AE193" s="683"/>
      <c r="AF193" s="683"/>
      <c r="AG193" s="683"/>
      <c r="AH193" s="683"/>
      <c r="AI193" s="683"/>
      <c r="AJ193" s="683"/>
      <c r="AK193" s="683"/>
    </row>
    <row r="194" spans="9:37" s="235" customFormat="1" x14ac:dyDescent="0.25">
      <c r="I194" s="683"/>
      <c r="J194" s="683"/>
      <c r="K194" s="683"/>
      <c r="L194" s="683"/>
      <c r="M194" s="684"/>
      <c r="N194" s="684"/>
      <c r="O194" s="683"/>
      <c r="P194" s="683"/>
      <c r="Q194" s="683"/>
      <c r="R194" s="683"/>
      <c r="S194" s="683"/>
      <c r="T194" s="683"/>
      <c r="U194" s="683"/>
      <c r="V194" s="683"/>
      <c r="W194" s="683"/>
      <c r="X194" s="683"/>
      <c r="Y194" s="683"/>
      <c r="Z194" s="683"/>
      <c r="AA194" s="683"/>
      <c r="AB194" s="683"/>
      <c r="AC194" s="683"/>
      <c r="AD194" s="683"/>
      <c r="AE194" s="683"/>
      <c r="AF194" s="683"/>
      <c r="AG194" s="683"/>
      <c r="AH194" s="683"/>
      <c r="AI194" s="683"/>
      <c r="AJ194" s="683"/>
      <c r="AK194" s="683"/>
    </row>
    <row r="195" spans="9:37" s="235" customFormat="1" x14ac:dyDescent="0.25">
      <c r="I195" s="683"/>
      <c r="J195" s="683"/>
      <c r="K195" s="683"/>
      <c r="L195" s="683"/>
      <c r="M195" s="684"/>
      <c r="N195" s="684"/>
      <c r="O195" s="683"/>
      <c r="P195" s="683"/>
      <c r="Q195" s="683"/>
      <c r="R195" s="683"/>
      <c r="S195" s="683"/>
      <c r="T195" s="683"/>
      <c r="U195" s="683"/>
      <c r="V195" s="683"/>
      <c r="W195" s="683"/>
      <c r="X195" s="683"/>
      <c r="Y195" s="683"/>
      <c r="Z195" s="683"/>
      <c r="AA195" s="683"/>
      <c r="AB195" s="683"/>
      <c r="AC195" s="683"/>
      <c r="AD195" s="683"/>
      <c r="AE195" s="683"/>
      <c r="AF195" s="683"/>
      <c r="AG195" s="683"/>
      <c r="AH195" s="683"/>
      <c r="AI195" s="683"/>
      <c r="AJ195" s="683"/>
      <c r="AK195" s="683"/>
    </row>
    <row r="196" spans="9:37" s="235" customFormat="1" x14ac:dyDescent="0.25">
      <c r="I196" s="683"/>
      <c r="J196" s="683"/>
      <c r="K196" s="683"/>
      <c r="L196" s="683"/>
      <c r="M196" s="684"/>
      <c r="N196" s="684"/>
      <c r="O196" s="683"/>
      <c r="P196" s="683"/>
      <c r="Q196" s="683"/>
      <c r="R196" s="683"/>
      <c r="S196" s="683"/>
      <c r="T196" s="683"/>
      <c r="U196" s="683"/>
      <c r="V196" s="683"/>
      <c r="W196" s="683"/>
      <c r="X196" s="683"/>
      <c r="Y196" s="683"/>
      <c r="Z196" s="683"/>
      <c r="AA196" s="683"/>
      <c r="AB196" s="683"/>
      <c r="AC196" s="683"/>
      <c r="AD196" s="683"/>
      <c r="AE196" s="683"/>
      <c r="AF196" s="683"/>
      <c r="AG196" s="683"/>
      <c r="AH196" s="683"/>
      <c r="AI196" s="683"/>
      <c r="AJ196" s="683"/>
      <c r="AK196" s="683"/>
    </row>
    <row r="197" spans="9:37" s="235" customFormat="1" x14ac:dyDescent="0.25">
      <c r="I197" s="683"/>
      <c r="J197" s="683"/>
      <c r="K197" s="683"/>
      <c r="L197" s="683"/>
      <c r="M197" s="684"/>
      <c r="N197" s="684"/>
      <c r="O197" s="683"/>
      <c r="P197" s="683"/>
      <c r="Q197" s="683"/>
      <c r="R197" s="683"/>
      <c r="S197" s="683"/>
      <c r="T197" s="683"/>
      <c r="U197" s="683"/>
      <c r="V197" s="683"/>
      <c r="W197" s="683"/>
      <c r="X197" s="683"/>
      <c r="Y197" s="683"/>
      <c r="Z197" s="683"/>
      <c r="AA197" s="683"/>
      <c r="AB197" s="683"/>
      <c r="AC197" s="683"/>
      <c r="AD197" s="683"/>
      <c r="AE197" s="683"/>
      <c r="AF197" s="683"/>
      <c r="AG197" s="683"/>
      <c r="AH197" s="683"/>
      <c r="AI197" s="683"/>
      <c r="AJ197" s="683"/>
      <c r="AK197" s="683"/>
    </row>
    <row r="198" spans="9:37" s="235" customFormat="1" x14ac:dyDescent="0.25">
      <c r="I198" s="683"/>
      <c r="J198" s="683"/>
      <c r="K198" s="683"/>
      <c r="L198" s="683"/>
      <c r="M198" s="684"/>
      <c r="N198" s="684"/>
      <c r="O198" s="683"/>
      <c r="P198" s="683"/>
      <c r="Q198" s="683"/>
      <c r="R198" s="683"/>
      <c r="S198" s="683"/>
      <c r="T198" s="683"/>
      <c r="U198" s="683"/>
      <c r="V198" s="683"/>
      <c r="W198" s="683"/>
      <c r="X198" s="683"/>
      <c r="Y198" s="683"/>
      <c r="Z198" s="683"/>
      <c r="AA198" s="683"/>
      <c r="AB198" s="683"/>
      <c r="AC198" s="683"/>
      <c r="AD198" s="683"/>
      <c r="AE198" s="683"/>
      <c r="AF198" s="683"/>
      <c r="AG198" s="683"/>
      <c r="AH198" s="683"/>
      <c r="AI198" s="683"/>
      <c r="AJ198" s="683"/>
      <c r="AK198" s="683"/>
    </row>
    <row r="199" spans="9:37" s="235" customFormat="1" x14ac:dyDescent="0.25">
      <c r="I199" s="683"/>
      <c r="J199" s="683"/>
      <c r="K199" s="683"/>
      <c r="L199" s="683"/>
      <c r="M199" s="684"/>
      <c r="N199" s="684"/>
      <c r="O199" s="683"/>
      <c r="P199" s="683"/>
      <c r="Q199" s="683"/>
      <c r="R199" s="683"/>
      <c r="S199" s="683"/>
      <c r="T199" s="683"/>
      <c r="U199" s="683"/>
      <c r="V199" s="683"/>
      <c r="W199" s="683"/>
      <c r="X199" s="683"/>
      <c r="Y199" s="683"/>
      <c r="Z199" s="683"/>
      <c r="AA199" s="683"/>
      <c r="AB199" s="683"/>
      <c r="AC199" s="683"/>
      <c r="AD199" s="683"/>
      <c r="AE199" s="683"/>
      <c r="AF199" s="683"/>
      <c r="AG199" s="683"/>
      <c r="AH199" s="683"/>
      <c r="AI199" s="683"/>
      <c r="AJ199" s="683"/>
      <c r="AK199" s="683"/>
    </row>
    <row r="200" spans="9:37" s="235" customFormat="1" x14ac:dyDescent="0.25">
      <c r="I200" s="683"/>
      <c r="J200" s="683"/>
      <c r="K200" s="683"/>
      <c r="L200" s="683"/>
      <c r="M200" s="684"/>
      <c r="N200" s="684"/>
      <c r="O200" s="683"/>
      <c r="P200" s="683"/>
      <c r="Q200" s="683"/>
      <c r="R200" s="683"/>
      <c r="S200" s="683"/>
      <c r="T200" s="683"/>
      <c r="U200" s="683"/>
      <c r="V200" s="683"/>
      <c r="W200" s="683"/>
      <c r="X200" s="683"/>
      <c r="Y200" s="683"/>
      <c r="Z200" s="683"/>
      <c r="AA200" s="683"/>
      <c r="AB200" s="683"/>
      <c r="AC200" s="683"/>
      <c r="AD200" s="683"/>
      <c r="AE200" s="683"/>
      <c r="AF200" s="683"/>
      <c r="AG200" s="683"/>
      <c r="AH200" s="683"/>
      <c r="AI200" s="683"/>
      <c r="AJ200" s="683"/>
      <c r="AK200" s="683"/>
    </row>
    <row r="201" spans="9:37" s="235" customFormat="1" x14ac:dyDescent="0.25">
      <c r="I201" s="683"/>
      <c r="J201" s="683"/>
      <c r="K201" s="683"/>
      <c r="L201" s="683"/>
      <c r="M201" s="684"/>
      <c r="N201" s="684"/>
      <c r="O201" s="683"/>
      <c r="P201" s="683"/>
      <c r="Q201" s="683"/>
      <c r="R201" s="683"/>
      <c r="S201" s="683"/>
      <c r="T201" s="683"/>
      <c r="U201" s="683"/>
      <c r="V201" s="683"/>
      <c r="W201" s="683"/>
      <c r="X201" s="683"/>
      <c r="Y201" s="683"/>
      <c r="Z201" s="683"/>
      <c r="AA201" s="683"/>
      <c r="AB201" s="683"/>
      <c r="AC201" s="683"/>
      <c r="AD201" s="683"/>
      <c r="AE201" s="683"/>
      <c r="AF201" s="683"/>
      <c r="AG201" s="683"/>
      <c r="AH201" s="683"/>
      <c r="AI201" s="683"/>
      <c r="AJ201" s="683"/>
      <c r="AK201" s="683"/>
    </row>
    <row r="202" spans="9:37" s="235" customFormat="1" x14ac:dyDescent="0.25">
      <c r="I202" s="683"/>
      <c r="J202" s="683"/>
      <c r="K202" s="683"/>
      <c r="L202" s="683"/>
      <c r="M202" s="684"/>
      <c r="N202" s="684"/>
      <c r="O202" s="683"/>
      <c r="P202" s="683"/>
      <c r="Q202" s="683"/>
      <c r="R202" s="683"/>
      <c r="S202" s="683"/>
      <c r="T202" s="683"/>
      <c r="U202" s="683"/>
      <c r="V202" s="683"/>
      <c r="W202" s="683"/>
      <c r="X202" s="683"/>
      <c r="Y202" s="683"/>
      <c r="Z202" s="683"/>
      <c r="AA202" s="683"/>
      <c r="AB202" s="683"/>
      <c r="AC202" s="683"/>
      <c r="AD202" s="683"/>
      <c r="AE202" s="683"/>
      <c r="AF202" s="683"/>
      <c r="AG202" s="683"/>
      <c r="AH202" s="683"/>
      <c r="AI202" s="683"/>
      <c r="AJ202" s="683"/>
      <c r="AK202" s="683"/>
    </row>
    <row r="203" spans="9:37" s="235" customFormat="1" x14ac:dyDescent="0.25">
      <c r="I203" s="683"/>
      <c r="J203" s="683"/>
      <c r="K203" s="683"/>
      <c r="L203" s="683"/>
      <c r="M203" s="684"/>
      <c r="N203" s="684"/>
      <c r="O203" s="683"/>
      <c r="P203" s="683"/>
      <c r="Q203" s="683"/>
      <c r="R203" s="683"/>
      <c r="S203" s="683"/>
      <c r="T203" s="683"/>
      <c r="U203" s="683"/>
      <c r="V203" s="683"/>
      <c r="W203" s="683"/>
      <c r="X203" s="683"/>
      <c r="Y203" s="683"/>
      <c r="Z203" s="683"/>
      <c r="AA203" s="683"/>
      <c r="AB203" s="683"/>
      <c r="AC203" s="683"/>
      <c r="AD203" s="683"/>
      <c r="AE203" s="683"/>
      <c r="AF203" s="683"/>
      <c r="AG203" s="683"/>
      <c r="AH203" s="683"/>
      <c r="AI203" s="683"/>
      <c r="AJ203" s="683"/>
      <c r="AK203" s="683"/>
    </row>
    <row r="204" spans="9:37" s="235" customFormat="1" x14ac:dyDescent="0.25">
      <c r="I204" s="683"/>
      <c r="J204" s="683"/>
      <c r="K204" s="683"/>
      <c r="L204" s="683"/>
      <c r="M204" s="684"/>
      <c r="N204" s="684"/>
      <c r="O204" s="683"/>
      <c r="P204" s="683"/>
      <c r="Q204" s="683"/>
      <c r="R204" s="683"/>
      <c r="S204" s="683"/>
      <c r="T204" s="683"/>
      <c r="U204" s="683"/>
      <c r="V204" s="683"/>
      <c r="W204" s="683"/>
      <c r="X204" s="683"/>
      <c r="Y204" s="683"/>
      <c r="Z204" s="683"/>
      <c r="AA204" s="683"/>
      <c r="AB204" s="683"/>
      <c r="AC204" s="683"/>
      <c r="AD204" s="683"/>
      <c r="AE204" s="683"/>
      <c r="AF204" s="683"/>
      <c r="AG204" s="683"/>
      <c r="AH204" s="683"/>
      <c r="AI204" s="683"/>
      <c r="AJ204" s="683"/>
      <c r="AK204" s="683"/>
    </row>
    <row r="205" spans="9:37" s="235" customFormat="1" x14ac:dyDescent="0.25">
      <c r="I205" s="683"/>
      <c r="J205" s="683"/>
      <c r="K205" s="683"/>
      <c r="L205" s="683"/>
      <c r="M205" s="684"/>
      <c r="N205" s="684"/>
      <c r="O205" s="683"/>
      <c r="P205" s="683"/>
      <c r="Q205" s="683"/>
      <c r="R205" s="683"/>
      <c r="S205" s="683"/>
      <c r="T205" s="683"/>
      <c r="U205" s="683"/>
      <c r="V205" s="683"/>
      <c r="W205" s="683"/>
      <c r="X205" s="683"/>
      <c r="Y205" s="683"/>
      <c r="Z205" s="683"/>
      <c r="AA205" s="683"/>
      <c r="AB205" s="683"/>
      <c r="AC205" s="683"/>
      <c r="AD205" s="683"/>
      <c r="AE205" s="683"/>
      <c r="AF205" s="683"/>
      <c r="AG205" s="683"/>
      <c r="AH205" s="683"/>
      <c r="AI205" s="683"/>
      <c r="AJ205" s="683"/>
      <c r="AK205" s="683"/>
    </row>
    <row r="206" spans="9:37" s="235" customFormat="1" x14ac:dyDescent="0.25">
      <c r="I206" s="683"/>
      <c r="J206" s="683"/>
      <c r="K206" s="683"/>
      <c r="L206" s="683"/>
      <c r="M206" s="684"/>
      <c r="N206" s="684"/>
      <c r="O206" s="683"/>
      <c r="P206" s="683"/>
      <c r="Q206" s="683"/>
      <c r="R206" s="683"/>
      <c r="S206" s="683"/>
      <c r="T206" s="683"/>
      <c r="U206" s="683"/>
      <c r="V206" s="683"/>
      <c r="W206" s="683"/>
      <c r="X206" s="683"/>
      <c r="Y206" s="683"/>
      <c r="Z206" s="683"/>
      <c r="AA206" s="683"/>
      <c r="AB206" s="683"/>
      <c r="AC206" s="683"/>
      <c r="AD206" s="683"/>
      <c r="AE206" s="683"/>
      <c r="AF206" s="683"/>
      <c r="AG206" s="683"/>
      <c r="AH206" s="683"/>
      <c r="AI206" s="683"/>
      <c r="AJ206" s="683"/>
      <c r="AK206" s="683"/>
    </row>
    <row r="207" spans="9:37" s="235" customFormat="1" x14ac:dyDescent="0.25">
      <c r="I207" s="683"/>
      <c r="J207" s="683"/>
      <c r="K207" s="683"/>
      <c r="L207" s="683"/>
      <c r="M207" s="684"/>
      <c r="N207" s="684"/>
      <c r="O207" s="683"/>
      <c r="P207" s="683"/>
      <c r="Q207" s="683"/>
      <c r="R207" s="683"/>
      <c r="S207" s="683"/>
      <c r="T207" s="683"/>
      <c r="U207" s="683"/>
      <c r="V207" s="683"/>
      <c r="W207" s="683"/>
      <c r="X207" s="683"/>
      <c r="Y207" s="683"/>
      <c r="Z207" s="683"/>
      <c r="AA207" s="683"/>
      <c r="AB207" s="683"/>
      <c r="AC207" s="683"/>
      <c r="AD207" s="683"/>
      <c r="AE207" s="683"/>
      <c r="AF207" s="683"/>
      <c r="AG207" s="683"/>
      <c r="AH207" s="683"/>
      <c r="AI207" s="683"/>
      <c r="AJ207" s="683"/>
      <c r="AK207" s="683"/>
    </row>
    <row r="208" spans="9:37" s="235" customFormat="1" x14ac:dyDescent="0.25">
      <c r="I208" s="683"/>
      <c r="J208" s="683"/>
      <c r="K208" s="683"/>
      <c r="L208" s="683"/>
      <c r="M208" s="684"/>
      <c r="N208" s="684"/>
      <c r="O208" s="683"/>
      <c r="P208" s="683"/>
      <c r="Q208" s="683"/>
      <c r="R208" s="683"/>
      <c r="S208" s="683"/>
      <c r="T208" s="683"/>
      <c r="U208" s="683"/>
      <c r="V208" s="683"/>
      <c r="W208" s="683"/>
      <c r="X208" s="683"/>
      <c r="Y208" s="683"/>
      <c r="Z208" s="683"/>
      <c r="AA208" s="683"/>
      <c r="AB208" s="683"/>
      <c r="AC208" s="683"/>
      <c r="AD208" s="683"/>
      <c r="AE208" s="683"/>
      <c r="AF208" s="683"/>
      <c r="AG208" s="683"/>
      <c r="AH208" s="683"/>
      <c r="AI208" s="683"/>
      <c r="AJ208" s="683"/>
      <c r="AK208" s="683"/>
    </row>
    <row r="209" spans="9:37" s="235" customFormat="1" x14ac:dyDescent="0.25">
      <c r="I209" s="683"/>
      <c r="J209" s="683"/>
      <c r="K209" s="683"/>
      <c r="L209" s="683"/>
      <c r="M209" s="684"/>
      <c r="N209" s="684"/>
      <c r="O209" s="683"/>
      <c r="P209" s="683"/>
      <c r="Q209" s="683"/>
      <c r="R209" s="683"/>
      <c r="S209" s="683"/>
      <c r="T209" s="683"/>
      <c r="U209" s="683"/>
      <c r="V209" s="683"/>
      <c r="W209" s="683"/>
      <c r="X209" s="683"/>
      <c r="Y209" s="683"/>
      <c r="Z209" s="683"/>
      <c r="AA209" s="683"/>
      <c r="AB209" s="683"/>
      <c r="AC209" s="683"/>
      <c r="AD209" s="683"/>
      <c r="AE209" s="683"/>
      <c r="AF209" s="683"/>
      <c r="AG209" s="683"/>
      <c r="AH209" s="683"/>
      <c r="AI209" s="683"/>
      <c r="AJ209" s="683"/>
      <c r="AK209" s="683"/>
    </row>
    <row r="210" spans="9:37" s="235" customFormat="1" x14ac:dyDescent="0.25">
      <c r="I210" s="683"/>
      <c r="J210" s="683"/>
      <c r="K210" s="683"/>
      <c r="L210" s="683"/>
      <c r="M210" s="684"/>
      <c r="N210" s="684"/>
      <c r="O210" s="683"/>
      <c r="P210" s="683"/>
      <c r="Q210" s="683"/>
      <c r="R210" s="683"/>
      <c r="S210" s="683"/>
      <c r="T210" s="683"/>
      <c r="U210" s="683"/>
      <c r="V210" s="683"/>
      <c r="W210" s="683"/>
      <c r="X210" s="683"/>
      <c r="Y210" s="683"/>
      <c r="Z210" s="683"/>
      <c r="AA210" s="683"/>
      <c r="AB210" s="683"/>
      <c r="AC210" s="683"/>
      <c r="AD210" s="683"/>
      <c r="AE210" s="683"/>
      <c r="AF210" s="683"/>
      <c r="AG210" s="683"/>
      <c r="AH210" s="683"/>
      <c r="AI210" s="683"/>
      <c r="AJ210" s="683"/>
      <c r="AK210" s="683"/>
    </row>
    <row r="211" spans="9:37" s="235" customFormat="1" x14ac:dyDescent="0.25">
      <c r="I211" s="683"/>
      <c r="J211" s="683"/>
      <c r="K211" s="683"/>
      <c r="L211" s="683"/>
      <c r="M211" s="684"/>
      <c r="N211" s="684"/>
      <c r="O211" s="683"/>
      <c r="P211" s="683"/>
      <c r="Q211" s="683"/>
      <c r="R211" s="683"/>
      <c r="S211" s="683"/>
      <c r="T211" s="683"/>
      <c r="U211" s="683"/>
      <c r="V211" s="683"/>
      <c r="W211" s="683"/>
      <c r="X211" s="683"/>
      <c r="Y211" s="683"/>
      <c r="Z211" s="683"/>
      <c r="AA211" s="683"/>
      <c r="AB211" s="683"/>
      <c r="AC211" s="683"/>
      <c r="AD211" s="683"/>
      <c r="AE211" s="683"/>
      <c r="AF211" s="683"/>
      <c r="AG211" s="683"/>
      <c r="AH211" s="683"/>
      <c r="AI211" s="683"/>
      <c r="AJ211" s="683"/>
      <c r="AK211" s="683"/>
    </row>
    <row r="212" spans="9:37" s="235" customFormat="1" x14ac:dyDescent="0.25">
      <c r="I212" s="683"/>
      <c r="J212" s="683"/>
      <c r="K212" s="683"/>
      <c r="L212" s="683"/>
      <c r="M212" s="684"/>
      <c r="N212" s="684"/>
      <c r="O212" s="683"/>
      <c r="P212" s="683"/>
      <c r="Q212" s="683"/>
      <c r="R212" s="683"/>
      <c r="S212" s="683"/>
      <c r="T212" s="683"/>
      <c r="U212" s="683"/>
      <c r="V212" s="683"/>
      <c r="W212" s="683"/>
      <c r="X212" s="683"/>
      <c r="Y212" s="683"/>
      <c r="Z212" s="683"/>
      <c r="AA212" s="683"/>
      <c r="AB212" s="683"/>
      <c r="AC212" s="683"/>
      <c r="AD212" s="683"/>
      <c r="AE212" s="683"/>
      <c r="AF212" s="683"/>
      <c r="AG212" s="683"/>
      <c r="AH212" s="683"/>
      <c r="AI212" s="683"/>
      <c r="AJ212" s="683"/>
      <c r="AK212" s="683"/>
    </row>
    <row r="213" spans="9:37" s="235" customFormat="1" x14ac:dyDescent="0.25">
      <c r="I213" s="683"/>
      <c r="J213" s="683"/>
      <c r="K213" s="683"/>
      <c r="L213" s="683"/>
      <c r="M213" s="684"/>
      <c r="N213" s="684"/>
      <c r="O213" s="683"/>
      <c r="P213" s="683"/>
      <c r="Q213" s="683"/>
      <c r="R213" s="683"/>
      <c r="S213" s="683"/>
      <c r="T213" s="683"/>
      <c r="U213" s="683"/>
      <c r="V213" s="683"/>
      <c r="W213" s="683"/>
      <c r="X213" s="683"/>
      <c r="Y213" s="683"/>
      <c r="Z213" s="683"/>
      <c r="AA213" s="683"/>
      <c r="AB213" s="683"/>
      <c r="AC213" s="683"/>
      <c r="AD213" s="683"/>
      <c r="AE213" s="683"/>
      <c r="AF213" s="683"/>
      <c r="AG213" s="683"/>
      <c r="AH213" s="683"/>
      <c r="AI213" s="683"/>
      <c r="AJ213" s="683"/>
      <c r="AK213" s="683"/>
    </row>
    <row r="214" spans="9:37" s="235" customFormat="1" x14ac:dyDescent="0.25">
      <c r="I214" s="683"/>
      <c r="J214" s="683"/>
      <c r="K214" s="683"/>
      <c r="L214" s="683"/>
      <c r="M214" s="684"/>
      <c r="N214" s="684"/>
      <c r="O214" s="683"/>
      <c r="P214" s="683"/>
      <c r="Q214" s="683"/>
      <c r="R214" s="683"/>
      <c r="S214" s="683"/>
      <c r="T214" s="683"/>
      <c r="U214" s="683"/>
      <c r="V214" s="683"/>
      <c r="W214" s="683"/>
      <c r="X214" s="683"/>
      <c r="Y214" s="683"/>
      <c r="Z214" s="683"/>
      <c r="AA214" s="683"/>
      <c r="AB214" s="683"/>
      <c r="AC214" s="683"/>
      <c r="AD214" s="683"/>
      <c r="AE214" s="683"/>
      <c r="AF214" s="683"/>
      <c r="AG214" s="683"/>
      <c r="AH214" s="683"/>
      <c r="AI214" s="683"/>
      <c r="AJ214" s="683"/>
      <c r="AK214" s="683"/>
    </row>
    <row r="215" spans="9:37" s="235" customFormat="1" x14ac:dyDescent="0.25">
      <c r="I215" s="683"/>
      <c r="J215" s="683"/>
      <c r="K215" s="683"/>
      <c r="L215" s="683"/>
      <c r="M215" s="684"/>
      <c r="N215" s="684"/>
      <c r="O215" s="683"/>
      <c r="P215" s="683"/>
      <c r="Q215" s="683"/>
      <c r="R215" s="683"/>
      <c r="S215" s="683"/>
      <c r="T215" s="683"/>
      <c r="U215" s="683"/>
      <c r="V215" s="683"/>
      <c r="W215" s="683"/>
      <c r="X215" s="683"/>
      <c r="Y215" s="683"/>
      <c r="Z215" s="683"/>
      <c r="AA215" s="683"/>
      <c r="AB215" s="683"/>
      <c r="AC215" s="683"/>
      <c r="AD215" s="683"/>
      <c r="AE215" s="683"/>
      <c r="AF215" s="683"/>
      <c r="AG215" s="683"/>
      <c r="AH215" s="683"/>
      <c r="AI215" s="683"/>
      <c r="AJ215" s="683"/>
      <c r="AK215" s="683"/>
    </row>
    <row r="216" spans="9:37" s="235" customFormat="1" x14ac:dyDescent="0.25">
      <c r="I216" s="683"/>
      <c r="J216" s="683"/>
      <c r="K216" s="683"/>
      <c r="L216" s="683"/>
      <c r="M216" s="684"/>
      <c r="N216" s="684"/>
      <c r="O216" s="683"/>
      <c r="P216" s="683"/>
      <c r="Q216" s="683"/>
      <c r="R216" s="683"/>
      <c r="S216" s="683"/>
      <c r="T216" s="683"/>
      <c r="U216" s="683"/>
      <c r="V216" s="683"/>
      <c r="W216" s="683"/>
      <c r="X216" s="683"/>
      <c r="Y216" s="683"/>
      <c r="Z216" s="683"/>
      <c r="AA216" s="683"/>
      <c r="AB216" s="683"/>
      <c r="AC216" s="683"/>
      <c r="AD216" s="683"/>
      <c r="AE216" s="683"/>
      <c r="AF216" s="683"/>
      <c r="AG216" s="683"/>
      <c r="AH216" s="683"/>
      <c r="AI216" s="683"/>
      <c r="AJ216" s="683"/>
      <c r="AK216" s="683"/>
    </row>
    <row r="217" spans="9:37" s="235" customFormat="1" x14ac:dyDescent="0.25">
      <c r="I217" s="683"/>
      <c r="J217" s="683"/>
      <c r="K217" s="683"/>
      <c r="L217" s="683"/>
      <c r="M217" s="684"/>
      <c r="N217" s="684"/>
      <c r="O217" s="683"/>
      <c r="P217" s="683"/>
      <c r="Q217" s="683"/>
      <c r="R217" s="683"/>
      <c r="S217" s="683"/>
      <c r="T217" s="683"/>
      <c r="U217" s="683"/>
      <c r="V217" s="683"/>
      <c r="W217" s="683"/>
      <c r="X217" s="683"/>
      <c r="Y217" s="683"/>
      <c r="Z217" s="683"/>
      <c r="AA217" s="683"/>
      <c r="AB217" s="683"/>
      <c r="AC217" s="683"/>
      <c r="AD217" s="683"/>
      <c r="AE217" s="683"/>
      <c r="AF217" s="683"/>
      <c r="AG217" s="683"/>
      <c r="AH217" s="683"/>
      <c r="AI217" s="683"/>
      <c r="AJ217" s="683"/>
      <c r="AK217" s="683"/>
    </row>
    <row r="218" spans="9:37" s="235" customFormat="1" x14ac:dyDescent="0.25">
      <c r="I218" s="683"/>
      <c r="J218" s="683"/>
      <c r="K218" s="683"/>
      <c r="L218" s="683"/>
      <c r="M218" s="684"/>
      <c r="N218" s="684"/>
      <c r="O218" s="683"/>
      <c r="P218" s="683"/>
      <c r="Q218" s="683"/>
      <c r="R218" s="683"/>
      <c r="S218" s="683"/>
      <c r="T218" s="683"/>
      <c r="U218" s="683"/>
      <c r="V218" s="683"/>
      <c r="W218" s="683"/>
      <c r="X218" s="683"/>
      <c r="Y218" s="683"/>
      <c r="Z218" s="683"/>
      <c r="AA218" s="683"/>
      <c r="AB218" s="683"/>
      <c r="AC218" s="683"/>
      <c r="AD218" s="683"/>
      <c r="AE218" s="683"/>
      <c r="AF218" s="683"/>
      <c r="AG218" s="683"/>
      <c r="AH218" s="683"/>
      <c r="AI218" s="683"/>
      <c r="AJ218" s="683"/>
      <c r="AK218" s="683"/>
    </row>
    <row r="219" spans="9:37" s="235" customFormat="1" x14ac:dyDescent="0.25">
      <c r="I219" s="683"/>
      <c r="J219" s="683"/>
      <c r="K219" s="683"/>
      <c r="L219" s="683"/>
      <c r="M219" s="684"/>
      <c r="N219" s="684"/>
      <c r="O219" s="683"/>
      <c r="P219" s="683"/>
      <c r="Q219" s="683"/>
      <c r="R219" s="683"/>
      <c r="S219" s="683"/>
      <c r="T219" s="683"/>
      <c r="U219" s="683"/>
      <c r="V219" s="683"/>
      <c r="W219" s="683"/>
      <c r="X219" s="683"/>
      <c r="Y219" s="683"/>
      <c r="Z219" s="683"/>
      <c r="AA219" s="683"/>
      <c r="AB219" s="683"/>
      <c r="AC219" s="683"/>
      <c r="AD219" s="683"/>
      <c r="AE219" s="683"/>
      <c r="AF219" s="683"/>
      <c r="AG219" s="683"/>
      <c r="AH219" s="683"/>
      <c r="AI219" s="683"/>
      <c r="AJ219" s="683"/>
      <c r="AK219" s="683"/>
    </row>
    <row r="220" spans="9:37" s="235" customFormat="1" x14ac:dyDescent="0.25">
      <c r="I220" s="683"/>
      <c r="J220" s="683"/>
      <c r="K220" s="683"/>
      <c r="L220" s="683"/>
      <c r="M220" s="684"/>
      <c r="N220" s="684"/>
      <c r="O220" s="683"/>
      <c r="P220" s="683"/>
      <c r="Q220" s="683"/>
      <c r="R220" s="683"/>
      <c r="S220" s="683"/>
      <c r="T220" s="683"/>
      <c r="U220" s="683"/>
      <c r="V220" s="683"/>
      <c r="W220" s="683"/>
      <c r="X220" s="683"/>
      <c r="Y220" s="683"/>
      <c r="Z220" s="683"/>
      <c r="AA220" s="683"/>
      <c r="AB220" s="683"/>
      <c r="AC220" s="683"/>
      <c r="AD220" s="683"/>
      <c r="AE220" s="683"/>
      <c r="AF220" s="683"/>
      <c r="AG220" s="683"/>
      <c r="AH220" s="683"/>
      <c r="AI220" s="683"/>
      <c r="AJ220" s="683"/>
      <c r="AK220" s="683"/>
    </row>
    <row r="221" spans="9:37" s="235" customFormat="1" x14ac:dyDescent="0.25">
      <c r="I221" s="683"/>
      <c r="J221" s="683"/>
      <c r="K221" s="683"/>
      <c r="L221" s="683"/>
      <c r="M221" s="684"/>
      <c r="N221" s="684"/>
      <c r="O221" s="683"/>
      <c r="P221" s="683"/>
      <c r="Q221" s="683"/>
      <c r="R221" s="683"/>
      <c r="S221" s="683"/>
      <c r="T221" s="683"/>
      <c r="U221" s="683"/>
      <c r="V221" s="683"/>
      <c r="W221" s="683"/>
      <c r="X221" s="683"/>
      <c r="Y221" s="683"/>
      <c r="Z221" s="683"/>
      <c r="AA221" s="683"/>
      <c r="AB221" s="683"/>
      <c r="AC221" s="683"/>
      <c r="AD221" s="683"/>
      <c r="AE221" s="683"/>
      <c r="AF221" s="683"/>
      <c r="AG221" s="683"/>
      <c r="AH221" s="683"/>
      <c r="AI221" s="683"/>
      <c r="AJ221" s="683"/>
      <c r="AK221" s="683"/>
    </row>
    <row r="222" spans="9:37" s="235" customFormat="1" x14ac:dyDescent="0.25">
      <c r="I222" s="683"/>
      <c r="J222" s="683"/>
      <c r="K222" s="683"/>
      <c r="L222" s="683"/>
      <c r="M222" s="684"/>
      <c r="N222" s="684"/>
      <c r="O222" s="683"/>
      <c r="P222" s="683"/>
      <c r="Q222" s="683"/>
      <c r="R222" s="683"/>
      <c r="S222" s="683"/>
      <c r="T222" s="683"/>
      <c r="U222" s="683"/>
      <c r="V222" s="683"/>
      <c r="W222" s="683"/>
      <c r="X222" s="683"/>
      <c r="Y222" s="683"/>
      <c r="Z222" s="683"/>
      <c r="AA222" s="683"/>
      <c r="AB222" s="683"/>
      <c r="AC222" s="683"/>
      <c r="AD222" s="683"/>
      <c r="AE222" s="683"/>
      <c r="AF222" s="683"/>
      <c r="AG222" s="683"/>
      <c r="AH222" s="683"/>
      <c r="AI222" s="683"/>
      <c r="AJ222" s="683"/>
      <c r="AK222" s="683"/>
    </row>
    <row r="223" spans="9:37" s="235" customFormat="1" x14ac:dyDescent="0.25">
      <c r="I223" s="683"/>
      <c r="J223" s="683"/>
      <c r="K223" s="683"/>
      <c r="L223" s="683"/>
      <c r="M223" s="684"/>
      <c r="N223" s="684"/>
      <c r="O223" s="683"/>
      <c r="P223" s="683"/>
      <c r="Q223" s="683"/>
      <c r="R223" s="683"/>
      <c r="S223" s="683"/>
      <c r="T223" s="683"/>
      <c r="U223" s="683"/>
      <c r="V223" s="683"/>
      <c r="W223" s="683"/>
      <c r="X223" s="683"/>
      <c r="Y223" s="683"/>
      <c r="Z223" s="683"/>
      <c r="AA223" s="683"/>
      <c r="AB223" s="683"/>
      <c r="AC223" s="683"/>
      <c r="AD223" s="683"/>
      <c r="AE223" s="683"/>
      <c r="AF223" s="683"/>
      <c r="AG223" s="683"/>
      <c r="AH223" s="683"/>
      <c r="AI223" s="683"/>
      <c r="AJ223" s="683"/>
      <c r="AK223" s="683"/>
    </row>
    <row r="224" spans="9:37" s="235" customFormat="1" x14ac:dyDescent="0.25">
      <c r="I224" s="683"/>
      <c r="J224" s="683"/>
      <c r="K224" s="683"/>
      <c r="L224" s="683"/>
      <c r="M224" s="684"/>
      <c r="N224" s="684"/>
      <c r="O224" s="683"/>
      <c r="P224" s="683"/>
      <c r="Q224" s="683"/>
      <c r="R224" s="683"/>
      <c r="S224" s="683"/>
      <c r="T224" s="683"/>
      <c r="U224" s="683"/>
      <c r="V224" s="683"/>
      <c r="W224" s="683"/>
      <c r="X224" s="683"/>
      <c r="Y224" s="683"/>
      <c r="Z224" s="683"/>
      <c r="AA224" s="683"/>
      <c r="AB224" s="683"/>
      <c r="AC224" s="683"/>
      <c r="AD224" s="683"/>
      <c r="AE224" s="683"/>
      <c r="AF224" s="683"/>
      <c r="AG224" s="683"/>
      <c r="AH224" s="683"/>
      <c r="AI224" s="683"/>
      <c r="AJ224" s="683"/>
      <c r="AK224" s="683"/>
    </row>
    <row r="225" spans="9:37" s="235" customFormat="1" x14ac:dyDescent="0.25">
      <c r="I225" s="683"/>
      <c r="J225" s="683"/>
      <c r="K225" s="683"/>
      <c r="L225" s="683"/>
      <c r="M225" s="684"/>
      <c r="N225" s="684"/>
      <c r="O225" s="683"/>
      <c r="P225" s="683"/>
      <c r="Q225" s="683"/>
      <c r="R225" s="683"/>
      <c r="S225" s="683"/>
      <c r="T225" s="683"/>
      <c r="U225" s="683"/>
      <c r="V225" s="683"/>
      <c r="W225" s="683"/>
      <c r="X225" s="683"/>
      <c r="Y225" s="683"/>
      <c r="Z225" s="683"/>
      <c r="AA225" s="683"/>
      <c r="AB225" s="683"/>
      <c r="AC225" s="683"/>
      <c r="AD225" s="683"/>
      <c r="AE225" s="683"/>
      <c r="AF225" s="683"/>
      <c r="AG225" s="683"/>
      <c r="AH225" s="683"/>
      <c r="AI225" s="683"/>
      <c r="AJ225" s="683"/>
      <c r="AK225" s="683"/>
    </row>
    <row r="226" spans="9:37" s="235" customFormat="1" x14ac:dyDescent="0.25">
      <c r="I226" s="683"/>
      <c r="J226" s="683"/>
      <c r="K226" s="683"/>
      <c r="L226" s="683"/>
      <c r="M226" s="684"/>
      <c r="N226" s="684"/>
      <c r="O226" s="683"/>
      <c r="P226" s="683"/>
      <c r="Q226" s="683"/>
      <c r="R226" s="683"/>
      <c r="S226" s="683"/>
      <c r="T226" s="683"/>
      <c r="U226" s="683"/>
      <c r="V226" s="683"/>
      <c r="W226" s="683"/>
      <c r="X226" s="683"/>
      <c r="Y226" s="683"/>
      <c r="Z226" s="683"/>
      <c r="AA226" s="683"/>
      <c r="AB226" s="683"/>
      <c r="AC226" s="683"/>
      <c r="AD226" s="683"/>
      <c r="AE226" s="683"/>
      <c r="AF226" s="683"/>
      <c r="AG226" s="683"/>
      <c r="AH226" s="683"/>
      <c r="AI226" s="683"/>
      <c r="AJ226" s="683"/>
      <c r="AK226" s="683"/>
    </row>
    <row r="227" spans="9:37" s="235" customFormat="1" x14ac:dyDescent="0.25">
      <c r="I227" s="683"/>
      <c r="J227" s="683"/>
      <c r="K227" s="683"/>
      <c r="L227" s="683"/>
      <c r="M227" s="684"/>
      <c r="N227" s="684"/>
      <c r="O227" s="683"/>
      <c r="P227" s="683"/>
      <c r="Q227" s="683"/>
      <c r="R227" s="683"/>
      <c r="S227" s="683"/>
      <c r="T227" s="683"/>
      <c r="U227" s="683"/>
      <c r="V227" s="683"/>
      <c r="W227" s="683"/>
      <c r="X227" s="683"/>
      <c r="Y227" s="683"/>
      <c r="Z227" s="683"/>
      <c r="AA227" s="683"/>
      <c r="AB227" s="683"/>
      <c r="AC227" s="683"/>
      <c r="AD227" s="683"/>
      <c r="AE227" s="683"/>
      <c r="AF227" s="683"/>
      <c r="AG227" s="683"/>
      <c r="AH227" s="683"/>
      <c r="AI227" s="683"/>
      <c r="AJ227" s="683"/>
      <c r="AK227" s="683"/>
    </row>
    <row r="228" spans="9:37" s="235" customFormat="1" x14ac:dyDescent="0.25">
      <c r="I228" s="683"/>
      <c r="J228" s="683"/>
      <c r="K228" s="683"/>
      <c r="L228" s="683"/>
      <c r="M228" s="684"/>
      <c r="N228" s="684"/>
      <c r="O228" s="683"/>
      <c r="P228" s="683"/>
      <c r="Q228" s="683"/>
      <c r="R228" s="683"/>
      <c r="S228" s="683"/>
      <c r="T228" s="683"/>
      <c r="U228" s="683"/>
      <c r="V228" s="683"/>
      <c r="W228" s="683"/>
      <c r="X228" s="683"/>
      <c r="Y228" s="683"/>
      <c r="Z228" s="683"/>
      <c r="AA228" s="683"/>
      <c r="AB228" s="683"/>
      <c r="AC228" s="683"/>
      <c r="AD228" s="683"/>
      <c r="AE228" s="683"/>
      <c r="AF228" s="683"/>
      <c r="AG228" s="683"/>
      <c r="AH228" s="683"/>
      <c r="AI228" s="683"/>
      <c r="AJ228" s="683"/>
      <c r="AK228" s="683"/>
    </row>
    <row r="229" spans="9:37" s="235" customFormat="1" x14ac:dyDescent="0.25">
      <c r="I229" s="683"/>
      <c r="J229" s="683"/>
      <c r="K229" s="683"/>
      <c r="L229" s="683"/>
      <c r="M229" s="684"/>
      <c r="N229" s="684"/>
      <c r="O229" s="683"/>
      <c r="P229" s="683"/>
      <c r="Q229" s="683"/>
      <c r="R229" s="683"/>
      <c r="S229" s="683"/>
      <c r="T229" s="683"/>
      <c r="U229" s="683"/>
      <c r="V229" s="683"/>
      <c r="W229" s="683"/>
      <c r="X229" s="683"/>
      <c r="Y229" s="683"/>
      <c r="Z229" s="683"/>
      <c r="AA229" s="683"/>
      <c r="AB229" s="683"/>
      <c r="AC229" s="683"/>
      <c r="AD229" s="683"/>
      <c r="AE229" s="683"/>
      <c r="AF229" s="683"/>
      <c r="AG229" s="683"/>
      <c r="AH229" s="683"/>
      <c r="AI229" s="683"/>
      <c r="AJ229" s="683"/>
      <c r="AK229" s="683"/>
    </row>
    <row r="230" spans="9:37" s="235" customFormat="1" x14ac:dyDescent="0.25">
      <c r="I230" s="683"/>
      <c r="J230" s="683"/>
      <c r="K230" s="683"/>
      <c r="L230" s="683"/>
      <c r="M230" s="684"/>
      <c r="N230" s="684"/>
      <c r="O230" s="683"/>
      <c r="P230" s="683"/>
      <c r="Q230" s="683"/>
      <c r="R230" s="683"/>
      <c r="S230" s="683"/>
      <c r="T230" s="683"/>
      <c r="U230" s="683"/>
      <c r="V230" s="683"/>
      <c r="W230" s="683"/>
      <c r="X230" s="683"/>
      <c r="Y230" s="683"/>
      <c r="Z230" s="683"/>
      <c r="AA230" s="683"/>
      <c r="AB230" s="683"/>
      <c r="AC230" s="683"/>
      <c r="AD230" s="683"/>
      <c r="AE230" s="683"/>
      <c r="AF230" s="683"/>
      <c r="AG230" s="683"/>
      <c r="AH230" s="683"/>
      <c r="AI230" s="683"/>
      <c r="AJ230" s="683"/>
      <c r="AK230" s="683"/>
    </row>
    <row r="231" spans="9:37" s="235" customFormat="1" x14ac:dyDescent="0.25">
      <c r="I231" s="683"/>
      <c r="J231" s="683"/>
      <c r="K231" s="683"/>
      <c r="L231" s="683"/>
      <c r="M231" s="684"/>
      <c r="N231" s="684"/>
      <c r="O231" s="683"/>
      <c r="P231" s="683"/>
      <c r="Q231" s="683"/>
      <c r="R231" s="683"/>
      <c r="S231" s="683"/>
      <c r="T231" s="683"/>
      <c r="U231" s="683"/>
      <c r="V231" s="683"/>
      <c r="W231" s="683"/>
      <c r="X231" s="683"/>
      <c r="Y231" s="683"/>
      <c r="Z231" s="683"/>
      <c r="AA231" s="683"/>
      <c r="AB231" s="683"/>
      <c r="AC231" s="683"/>
      <c r="AD231" s="683"/>
      <c r="AE231" s="683"/>
      <c r="AF231" s="683"/>
      <c r="AG231" s="683"/>
      <c r="AH231" s="683"/>
      <c r="AI231" s="683"/>
      <c r="AJ231" s="683"/>
      <c r="AK231" s="683"/>
    </row>
    <row r="232" spans="9:37" s="235" customFormat="1" x14ac:dyDescent="0.25">
      <c r="I232" s="683"/>
      <c r="J232" s="683"/>
      <c r="K232" s="683"/>
      <c r="L232" s="683"/>
      <c r="M232" s="684"/>
      <c r="N232" s="684"/>
      <c r="O232" s="683"/>
      <c r="P232" s="683"/>
      <c r="Q232" s="683"/>
      <c r="R232" s="683"/>
      <c r="S232" s="683"/>
      <c r="T232" s="683"/>
      <c r="U232" s="683"/>
      <c r="V232" s="683"/>
      <c r="W232" s="683"/>
      <c r="X232" s="683"/>
      <c r="Y232" s="683"/>
      <c r="Z232" s="683"/>
      <c r="AA232" s="683"/>
      <c r="AB232" s="683"/>
      <c r="AC232" s="683"/>
      <c r="AD232" s="683"/>
      <c r="AE232" s="683"/>
      <c r="AF232" s="683"/>
      <c r="AG232" s="683"/>
      <c r="AH232" s="683"/>
      <c r="AI232" s="683"/>
      <c r="AJ232" s="683"/>
      <c r="AK232" s="683"/>
    </row>
    <row r="233" spans="9:37" s="235" customFormat="1" x14ac:dyDescent="0.25">
      <c r="I233" s="683"/>
      <c r="J233" s="683"/>
      <c r="K233" s="683"/>
      <c r="L233" s="683"/>
      <c r="M233" s="684"/>
      <c r="N233" s="684"/>
      <c r="O233" s="683"/>
      <c r="P233" s="683"/>
      <c r="Q233" s="683"/>
      <c r="R233" s="683"/>
      <c r="S233" s="683"/>
      <c r="T233" s="683"/>
      <c r="U233" s="683"/>
      <c r="V233" s="683"/>
      <c r="W233" s="683"/>
      <c r="X233" s="683"/>
      <c r="Y233" s="683"/>
      <c r="Z233" s="683"/>
      <c r="AA233" s="683"/>
      <c r="AB233" s="683"/>
      <c r="AC233" s="683"/>
      <c r="AD233" s="683"/>
      <c r="AE233" s="683"/>
      <c r="AF233" s="683"/>
      <c r="AG233" s="683"/>
      <c r="AH233" s="683"/>
      <c r="AI233" s="683"/>
      <c r="AJ233" s="683"/>
      <c r="AK233" s="683"/>
    </row>
    <row r="234" spans="9:37" s="235" customFormat="1" x14ac:dyDescent="0.25">
      <c r="I234" s="683"/>
      <c r="J234" s="683"/>
      <c r="K234" s="683"/>
      <c r="L234" s="683"/>
      <c r="M234" s="684"/>
      <c r="N234" s="684"/>
      <c r="O234" s="683"/>
      <c r="P234" s="683"/>
      <c r="Q234" s="683"/>
      <c r="R234" s="683"/>
      <c r="S234" s="683"/>
      <c r="T234" s="683"/>
      <c r="U234" s="683"/>
      <c r="V234" s="683"/>
      <c r="W234" s="683"/>
      <c r="X234" s="683"/>
      <c r="Y234" s="683"/>
      <c r="Z234" s="683"/>
      <c r="AA234" s="683"/>
      <c r="AB234" s="683"/>
      <c r="AC234" s="683"/>
      <c r="AD234" s="683"/>
      <c r="AE234" s="683"/>
      <c r="AF234" s="683"/>
      <c r="AG234" s="683"/>
      <c r="AH234" s="683"/>
      <c r="AI234" s="683"/>
      <c r="AJ234" s="683"/>
      <c r="AK234" s="683"/>
    </row>
    <row r="235" spans="9:37" s="235" customFormat="1" x14ac:dyDescent="0.25">
      <c r="I235" s="683"/>
      <c r="J235" s="683"/>
      <c r="K235" s="683"/>
      <c r="L235" s="683"/>
      <c r="M235" s="684"/>
      <c r="N235" s="684"/>
      <c r="O235" s="683"/>
      <c r="P235" s="683"/>
      <c r="Q235" s="683"/>
      <c r="R235" s="683"/>
      <c r="S235" s="683"/>
      <c r="T235" s="683"/>
      <c r="U235" s="683"/>
      <c r="V235" s="683"/>
      <c r="W235" s="683"/>
      <c r="X235" s="683"/>
      <c r="Y235" s="683"/>
      <c r="Z235" s="683"/>
      <c r="AA235" s="683"/>
      <c r="AB235" s="683"/>
      <c r="AC235" s="683"/>
      <c r="AD235" s="683"/>
      <c r="AE235" s="683"/>
      <c r="AF235" s="683"/>
      <c r="AG235" s="683"/>
      <c r="AH235" s="683"/>
      <c r="AI235" s="683"/>
      <c r="AJ235" s="683"/>
      <c r="AK235" s="683"/>
    </row>
    <row r="236" spans="9:37" s="235" customFormat="1" x14ac:dyDescent="0.25">
      <c r="I236" s="683"/>
      <c r="J236" s="683"/>
      <c r="K236" s="683"/>
      <c r="L236" s="683"/>
      <c r="M236" s="684"/>
      <c r="N236" s="684"/>
      <c r="O236" s="683"/>
      <c r="P236" s="683"/>
      <c r="Q236" s="683"/>
      <c r="R236" s="683"/>
      <c r="S236" s="683"/>
      <c r="T236" s="683"/>
      <c r="U236" s="683"/>
      <c r="V236" s="683"/>
      <c r="W236" s="683"/>
      <c r="X236" s="683"/>
      <c r="Y236" s="683"/>
      <c r="Z236" s="683"/>
      <c r="AA236" s="683"/>
      <c r="AB236" s="683"/>
      <c r="AC236" s="683"/>
      <c r="AD236" s="683"/>
      <c r="AE236" s="683"/>
      <c r="AF236" s="683"/>
      <c r="AG236" s="683"/>
      <c r="AH236" s="683"/>
      <c r="AI236" s="683"/>
      <c r="AJ236" s="683"/>
      <c r="AK236" s="683"/>
    </row>
    <row r="237" spans="9:37" s="235" customFormat="1" x14ac:dyDescent="0.25">
      <c r="I237" s="683"/>
      <c r="J237" s="683"/>
      <c r="K237" s="683"/>
      <c r="L237" s="683"/>
      <c r="M237" s="684"/>
      <c r="N237" s="684"/>
      <c r="O237" s="683"/>
      <c r="P237" s="683"/>
      <c r="Q237" s="683"/>
      <c r="R237" s="683"/>
      <c r="S237" s="683"/>
      <c r="T237" s="683"/>
      <c r="U237" s="683"/>
      <c r="V237" s="683"/>
      <c r="W237" s="683"/>
      <c r="X237" s="683"/>
      <c r="Y237" s="683"/>
      <c r="Z237" s="683"/>
      <c r="AA237" s="683"/>
      <c r="AB237" s="683"/>
      <c r="AC237" s="683"/>
      <c r="AD237" s="683"/>
      <c r="AE237" s="683"/>
      <c r="AF237" s="683"/>
      <c r="AG237" s="683"/>
      <c r="AH237" s="683"/>
      <c r="AI237" s="683"/>
      <c r="AJ237" s="683"/>
      <c r="AK237" s="683"/>
    </row>
    <row r="238" spans="9:37" s="235" customFormat="1" x14ac:dyDescent="0.25">
      <c r="I238" s="683"/>
      <c r="J238" s="683"/>
      <c r="K238" s="683"/>
      <c r="L238" s="683"/>
      <c r="M238" s="684"/>
      <c r="N238" s="684"/>
      <c r="O238" s="683"/>
      <c r="P238" s="683"/>
      <c r="Q238" s="683"/>
      <c r="R238" s="683"/>
      <c r="S238" s="683"/>
      <c r="T238" s="683"/>
      <c r="U238" s="683"/>
      <c r="V238" s="683"/>
      <c r="W238" s="683"/>
      <c r="X238" s="683"/>
      <c r="Y238" s="683"/>
      <c r="Z238" s="683"/>
      <c r="AA238" s="683"/>
      <c r="AB238" s="683"/>
      <c r="AC238" s="683"/>
      <c r="AD238" s="683"/>
      <c r="AE238" s="683"/>
      <c r="AF238" s="683"/>
      <c r="AG238" s="683"/>
      <c r="AH238" s="683"/>
      <c r="AI238" s="683"/>
      <c r="AJ238" s="683"/>
      <c r="AK238" s="683"/>
    </row>
    <row r="239" spans="9:37" s="235" customFormat="1" x14ac:dyDescent="0.25">
      <c r="I239" s="683"/>
      <c r="J239" s="683"/>
      <c r="K239" s="683"/>
      <c r="L239" s="683"/>
      <c r="M239" s="684"/>
      <c r="N239" s="684"/>
      <c r="O239" s="683"/>
      <c r="P239" s="683"/>
      <c r="Q239" s="683"/>
      <c r="R239" s="683"/>
      <c r="S239" s="683"/>
      <c r="T239" s="683"/>
      <c r="U239" s="683"/>
      <c r="V239" s="683"/>
      <c r="W239" s="683"/>
      <c r="X239" s="683"/>
      <c r="Y239" s="683"/>
      <c r="Z239" s="683"/>
      <c r="AA239" s="683"/>
      <c r="AB239" s="683"/>
      <c r="AC239" s="683"/>
      <c r="AD239" s="683"/>
      <c r="AE239" s="683"/>
      <c r="AF239" s="683"/>
      <c r="AG239" s="683"/>
      <c r="AH239" s="683"/>
      <c r="AI239" s="683"/>
      <c r="AJ239" s="683"/>
      <c r="AK239" s="683"/>
    </row>
    <row r="240" spans="9:37" s="235" customFormat="1" x14ac:dyDescent="0.25">
      <c r="I240" s="683"/>
      <c r="J240" s="683"/>
      <c r="K240" s="683"/>
      <c r="L240" s="683"/>
      <c r="M240" s="684"/>
      <c r="N240" s="684"/>
      <c r="O240" s="683"/>
      <c r="P240" s="683"/>
      <c r="Q240" s="683"/>
      <c r="R240" s="683"/>
      <c r="S240" s="683"/>
      <c r="T240" s="683"/>
      <c r="U240" s="683"/>
      <c r="V240" s="683"/>
      <c r="W240" s="683"/>
      <c r="X240" s="683"/>
      <c r="Y240" s="683"/>
      <c r="Z240" s="683"/>
      <c r="AA240" s="683"/>
      <c r="AB240" s="683"/>
      <c r="AC240" s="683"/>
      <c r="AD240" s="683"/>
      <c r="AE240" s="683"/>
      <c r="AF240" s="683"/>
      <c r="AG240" s="683"/>
      <c r="AH240" s="683"/>
      <c r="AI240" s="683"/>
      <c r="AJ240" s="683"/>
      <c r="AK240" s="683"/>
    </row>
    <row r="241" spans="9:37" s="235" customFormat="1" x14ac:dyDescent="0.25">
      <c r="I241" s="683"/>
      <c r="J241" s="683"/>
      <c r="K241" s="683"/>
      <c r="L241" s="683"/>
      <c r="M241" s="684"/>
      <c r="N241" s="684"/>
      <c r="O241" s="683"/>
      <c r="P241" s="683"/>
      <c r="Q241" s="683"/>
      <c r="R241" s="683"/>
      <c r="S241" s="683"/>
      <c r="T241" s="683"/>
      <c r="U241" s="683"/>
      <c r="V241" s="683"/>
      <c r="W241" s="683"/>
      <c r="X241" s="683"/>
      <c r="Y241" s="683"/>
      <c r="Z241" s="683"/>
      <c r="AA241" s="683"/>
      <c r="AB241" s="683"/>
      <c r="AC241" s="683"/>
      <c r="AD241" s="683"/>
      <c r="AE241" s="683"/>
      <c r="AF241" s="683"/>
      <c r="AG241" s="683"/>
      <c r="AH241" s="683"/>
      <c r="AI241" s="683"/>
      <c r="AJ241" s="683"/>
      <c r="AK241" s="683"/>
    </row>
    <row r="242" spans="9:37" s="235" customFormat="1" x14ac:dyDescent="0.25">
      <c r="I242" s="683"/>
      <c r="J242" s="683"/>
      <c r="K242" s="683"/>
      <c r="L242" s="683"/>
      <c r="M242" s="684"/>
      <c r="N242" s="684"/>
      <c r="O242" s="683"/>
      <c r="P242" s="683"/>
      <c r="Q242" s="683"/>
      <c r="R242" s="683"/>
      <c r="S242" s="683"/>
      <c r="T242" s="683"/>
      <c r="U242" s="683"/>
      <c r="V242" s="683"/>
      <c r="W242" s="683"/>
      <c r="X242" s="683"/>
      <c r="Y242" s="683"/>
      <c r="Z242" s="683"/>
      <c r="AA242" s="683"/>
      <c r="AB242" s="683"/>
      <c r="AC242" s="683"/>
      <c r="AD242" s="683"/>
      <c r="AE242" s="683"/>
      <c r="AF242" s="683"/>
      <c r="AG242" s="683"/>
      <c r="AH242" s="683"/>
      <c r="AI242" s="683"/>
      <c r="AJ242" s="683"/>
      <c r="AK242" s="683"/>
    </row>
    <row r="243" spans="9:37" s="235" customFormat="1" x14ac:dyDescent="0.25">
      <c r="I243" s="683"/>
      <c r="J243" s="683"/>
      <c r="K243" s="683"/>
      <c r="L243" s="683"/>
      <c r="M243" s="684"/>
      <c r="N243" s="684"/>
      <c r="O243" s="683"/>
      <c r="P243" s="683"/>
      <c r="Q243" s="683"/>
      <c r="R243" s="683"/>
      <c r="S243" s="683"/>
      <c r="T243" s="683"/>
      <c r="U243" s="683"/>
      <c r="V243" s="683"/>
      <c r="W243" s="683"/>
      <c r="X243" s="683"/>
      <c r="Y243" s="683"/>
      <c r="Z243" s="683"/>
      <c r="AA243" s="683"/>
      <c r="AB243" s="683"/>
      <c r="AC243" s="683"/>
      <c r="AD243" s="683"/>
      <c r="AE243" s="683"/>
      <c r="AF243" s="683"/>
      <c r="AG243" s="683"/>
      <c r="AH243" s="683"/>
      <c r="AI243" s="683"/>
      <c r="AJ243" s="683"/>
      <c r="AK243" s="683"/>
    </row>
    <row r="244" spans="9:37" s="235" customFormat="1" x14ac:dyDescent="0.25">
      <c r="I244" s="683"/>
      <c r="J244" s="683"/>
      <c r="K244" s="683"/>
      <c r="L244" s="683"/>
      <c r="M244" s="684"/>
      <c r="N244" s="684"/>
      <c r="O244" s="683"/>
      <c r="P244" s="683"/>
      <c r="Q244" s="683"/>
      <c r="R244" s="683"/>
      <c r="S244" s="683"/>
      <c r="T244" s="683"/>
      <c r="U244" s="683"/>
      <c r="V244" s="683"/>
      <c r="W244" s="683"/>
      <c r="X244" s="683"/>
      <c r="Y244" s="683"/>
      <c r="Z244" s="683"/>
      <c r="AA244" s="683"/>
      <c r="AB244" s="683"/>
      <c r="AC244" s="683"/>
      <c r="AD244" s="683"/>
      <c r="AE244" s="683"/>
      <c r="AF244" s="683"/>
      <c r="AG244" s="683"/>
      <c r="AH244" s="683"/>
      <c r="AI244" s="683"/>
      <c r="AJ244" s="683"/>
      <c r="AK244" s="683"/>
    </row>
    <row r="245" spans="9:37" s="235" customFormat="1" x14ac:dyDescent="0.25">
      <c r="I245" s="683"/>
      <c r="J245" s="683"/>
      <c r="K245" s="683"/>
      <c r="L245" s="683"/>
      <c r="M245" s="684"/>
      <c r="N245" s="684"/>
      <c r="O245" s="683"/>
      <c r="P245" s="683"/>
      <c r="Q245" s="683"/>
      <c r="R245" s="683"/>
      <c r="S245" s="683"/>
      <c r="T245" s="683"/>
      <c r="U245" s="683"/>
      <c r="V245" s="683"/>
      <c r="W245" s="683"/>
      <c r="X245" s="683"/>
      <c r="Y245" s="683"/>
      <c r="Z245" s="683"/>
      <c r="AA245" s="683"/>
      <c r="AB245" s="683"/>
      <c r="AC245" s="683"/>
      <c r="AD245" s="683"/>
      <c r="AE245" s="683"/>
      <c r="AF245" s="683"/>
      <c r="AG245" s="683"/>
      <c r="AH245" s="683"/>
      <c r="AI245" s="683"/>
      <c r="AJ245" s="683"/>
      <c r="AK245" s="683"/>
    </row>
    <row r="246" spans="9:37" s="235" customFormat="1" x14ac:dyDescent="0.25">
      <c r="I246" s="683"/>
      <c r="J246" s="683"/>
      <c r="K246" s="683"/>
      <c r="L246" s="683"/>
      <c r="M246" s="684"/>
      <c r="N246" s="684"/>
      <c r="O246" s="683"/>
      <c r="P246" s="683"/>
      <c r="Q246" s="683"/>
      <c r="R246" s="683"/>
      <c r="S246" s="683"/>
      <c r="T246" s="683"/>
      <c r="U246" s="683"/>
      <c r="V246" s="683"/>
      <c r="W246" s="683"/>
      <c r="X246" s="683"/>
      <c r="Y246" s="683"/>
      <c r="Z246" s="683"/>
      <c r="AA246" s="683"/>
      <c r="AB246" s="683"/>
      <c r="AC246" s="683"/>
      <c r="AD246" s="683"/>
      <c r="AE246" s="683"/>
      <c r="AF246" s="683"/>
      <c r="AG246" s="683"/>
      <c r="AH246" s="683"/>
      <c r="AI246" s="683"/>
      <c r="AJ246" s="683"/>
      <c r="AK246" s="683"/>
    </row>
    <row r="247" spans="9:37" s="235" customFormat="1" x14ac:dyDescent="0.25">
      <c r="I247" s="683"/>
      <c r="J247" s="683"/>
      <c r="K247" s="683"/>
      <c r="L247" s="683"/>
      <c r="M247" s="684"/>
      <c r="N247" s="684"/>
      <c r="O247" s="683"/>
      <c r="P247" s="683"/>
      <c r="Q247" s="683"/>
      <c r="R247" s="683"/>
      <c r="S247" s="683"/>
      <c r="T247" s="683"/>
      <c r="U247" s="683"/>
      <c r="V247" s="683"/>
      <c r="W247" s="683"/>
      <c r="X247" s="683"/>
      <c r="Y247" s="683"/>
      <c r="Z247" s="683"/>
      <c r="AA247" s="683"/>
      <c r="AB247" s="683"/>
      <c r="AC247" s="683"/>
      <c r="AD247" s="683"/>
      <c r="AE247" s="683"/>
      <c r="AF247" s="683"/>
      <c r="AG247" s="683"/>
      <c r="AH247" s="683"/>
      <c r="AI247" s="683"/>
      <c r="AJ247" s="683"/>
      <c r="AK247" s="683"/>
    </row>
    <row r="248" spans="9:37" s="235" customFormat="1" x14ac:dyDescent="0.25">
      <c r="I248" s="683"/>
      <c r="J248" s="683"/>
      <c r="K248" s="683"/>
      <c r="L248" s="683"/>
      <c r="M248" s="684"/>
      <c r="N248" s="684"/>
      <c r="O248" s="683"/>
      <c r="P248" s="683"/>
      <c r="Q248" s="683"/>
      <c r="R248" s="683"/>
      <c r="S248" s="683"/>
      <c r="T248" s="683"/>
      <c r="U248" s="683"/>
      <c r="V248" s="683"/>
      <c r="W248" s="683"/>
      <c r="X248" s="683"/>
      <c r="Y248" s="683"/>
      <c r="Z248" s="683"/>
      <c r="AA248" s="683"/>
      <c r="AB248" s="683"/>
      <c r="AC248" s="683"/>
      <c r="AD248" s="683"/>
      <c r="AE248" s="683"/>
      <c r="AF248" s="683"/>
      <c r="AG248" s="683"/>
      <c r="AH248" s="683"/>
      <c r="AI248" s="683"/>
      <c r="AJ248" s="683"/>
      <c r="AK248" s="683"/>
    </row>
    <row r="249" spans="9:37" s="235" customFormat="1" x14ac:dyDescent="0.25">
      <c r="I249" s="683"/>
      <c r="J249" s="683"/>
      <c r="K249" s="683"/>
      <c r="L249" s="683"/>
      <c r="M249" s="684"/>
      <c r="N249" s="684"/>
      <c r="O249" s="683"/>
      <c r="P249" s="683"/>
      <c r="Q249" s="683"/>
      <c r="R249" s="683"/>
      <c r="S249" s="683"/>
      <c r="T249" s="683"/>
      <c r="U249" s="683"/>
      <c r="V249" s="683"/>
      <c r="W249" s="683"/>
      <c r="X249" s="683"/>
      <c r="Y249" s="683"/>
      <c r="Z249" s="683"/>
      <c r="AA249" s="683"/>
      <c r="AB249" s="683"/>
      <c r="AC249" s="683"/>
      <c r="AD249" s="683"/>
      <c r="AE249" s="683"/>
      <c r="AF249" s="683"/>
      <c r="AG249" s="683"/>
      <c r="AH249" s="683"/>
      <c r="AI249" s="683"/>
      <c r="AJ249" s="683"/>
      <c r="AK249" s="683"/>
    </row>
    <row r="250" spans="9:37" s="235" customFormat="1" x14ac:dyDescent="0.25">
      <c r="I250" s="683"/>
      <c r="J250" s="683"/>
      <c r="K250" s="683"/>
      <c r="L250" s="683"/>
      <c r="M250" s="684"/>
      <c r="N250" s="684"/>
      <c r="O250" s="683"/>
      <c r="P250" s="683"/>
      <c r="Q250" s="683"/>
      <c r="R250" s="683"/>
      <c r="S250" s="683"/>
      <c r="T250" s="683"/>
      <c r="U250" s="683"/>
      <c r="V250" s="683"/>
      <c r="W250" s="683"/>
      <c r="X250" s="683"/>
      <c r="Y250" s="683"/>
      <c r="Z250" s="683"/>
      <c r="AA250" s="683"/>
      <c r="AB250" s="683"/>
      <c r="AC250" s="683"/>
      <c r="AD250" s="683"/>
      <c r="AE250" s="683"/>
      <c r="AF250" s="683"/>
      <c r="AG250" s="683"/>
      <c r="AH250" s="683"/>
      <c r="AI250" s="683"/>
      <c r="AJ250" s="683"/>
      <c r="AK250" s="683"/>
    </row>
    <row r="251" spans="9:37" s="235" customFormat="1" x14ac:dyDescent="0.25">
      <c r="I251" s="683"/>
      <c r="J251" s="683"/>
      <c r="K251" s="683"/>
      <c r="L251" s="683"/>
      <c r="M251" s="684"/>
      <c r="N251" s="684"/>
      <c r="O251" s="683"/>
      <c r="P251" s="683"/>
      <c r="Q251" s="683"/>
      <c r="R251" s="683"/>
      <c r="S251" s="683"/>
      <c r="T251" s="683"/>
      <c r="U251" s="683"/>
      <c r="V251" s="683"/>
      <c r="W251" s="683"/>
      <c r="X251" s="683"/>
      <c r="Y251" s="683"/>
      <c r="Z251" s="683"/>
      <c r="AA251" s="683"/>
      <c r="AB251" s="683"/>
      <c r="AC251" s="683"/>
      <c r="AD251" s="683"/>
      <c r="AE251" s="683"/>
      <c r="AF251" s="683"/>
      <c r="AG251" s="683"/>
      <c r="AH251" s="683"/>
      <c r="AI251" s="683"/>
      <c r="AJ251" s="683"/>
      <c r="AK251" s="683"/>
    </row>
    <row r="252" spans="9:37" s="235" customFormat="1" x14ac:dyDescent="0.25">
      <c r="I252" s="683"/>
      <c r="J252" s="683"/>
      <c r="K252" s="683"/>
      <c r="L252" s="683"/>
      <c r="M252" s="684"/>
      <c r="N252" s="684"/>
      <c r="O252" s="683"/>
      <c r="P252" s="683"/>
      <c r="Q252" s="683"/>
      <c r="R252" s="683"/>
      <c r="S252" s="683"/>
      <c r="T252" s="683"/>
      <c r="U252" s="683"/>
      <c r="V252" s="683"/>
      <c r="W252" s="683"/>
      <c r="X252" s="683"/>
      <c r="Y252" s="683"/>
      <c r="Z252" s="683"/>
      <c r="AA252" s="683"/>
      <c r="AB252" s="683"/>
      <c r="AC252" s="683"/>
      <c r="AD252" s="683"/>
      <c r="AE252" s="683"/>
      <c r="AF252" s="683"/>
      <c r="AG252" s="683"/>
      <c r="AH252" s="683"/>
      <c r="AI252" s="683"/>
      <c r="AJ252" s="683"/>
      <c r="AK252" s="683"/>
    </row>
    <row r="253" spans="9:37" s="235" customFormat="1" x14ac:dyDescent="0.25">
      <c r="I253" s="683"/>
      <c r="J253" s="683"/>
      <c r="K253" s="683"/>
      <c r="L253" s="683"/>
      <c r="M253" s="684"/>
      <c r="N253" s="684"/>
      <c r="O253" s="683"/>
      <c r="P253" s="683"/>
      <c r="Q253" s="683"/>
      <c r="R253" s="683"/>
      <c r="S253" s="683"/>
      <c r="T253" s="683"/>
      <c r="U253" s="683"/>
      <c r="V253" s="683"/>
      <c r="W253" s="683"/>
      <c r="X253" s="683"/>
      <c r="Y253" s="683"/>
      <c r="Z253" s="683"/>
      <c r="AA253" s="683"/>
      <c r="AB253" s="683"/>
      <c r="AC253" s="683"/>
      <c r="AD253" s="683"/>
      <c r="AE253" s="683"/>
      <c r="AF253" s="683"/>
      <c r="AG253" s="683"/>
      <c r="AH253" s="683"/>
      <c r="AI253" s="683"/>
      <c r="AJ253" s="683"/>
      <c r="AK253" s="683"/>
    </row>
    <row r="254" spans="9:37" s="235" customFormat="1" x14ac:dyDescent="0.25">
      <c r="I254" s="683"/>
      <c r="J254" s="683"/>
      <c r="K254" s="683"/>
      <c r="L254" s="683"/>
      <c r="M254" s="684"/>
      <c r="N254" s="684"/>
      <c r="O254" s="683"/>
      <c r="P254" s="683"/>
      <c r="Q254" s="683"/>
      <c r="R254" s="683"/>
      <c r="S254" s="683"/>
      <c r="T254" s="683"/>
      <c r="U254" s="683"/>
      <c r="V254" s="683"/>
      <c r="W254" s="683"/>
      <c r="X254" s="683"/>
      <c r="Y254" s="683"/>
      <c r="Z254" s="683"/>
      <c r="AA254" s="683"/>
      <c r="AB254" s="683"/>
      <c r="AC254" s="683"/>
      <c r="AD254" s="683"/>
      <c r="AE254" s="683"/>
      <c r="AF254" s="683"/>
      <c r="AG254" s="683"/>
      <c r="AH254" s="683"/>
      <c r="AI254" s="683"/>
      <c r="AJ254" s="683"/>
      <c r="AK254" s="683"/>
    </row>
    <row r="255" spans="9:37" s="235" customFormat="1" x14ac:dyDescent="0.25">
      <c r="I255" s="683"/>
      <c r="J255" s="683"/>
      <c r="K255" s="683"/>
      <c r="L255" s="683"/>
      <c r="M255" s="684"/>
      <c r="N255" s="684"/>
      <c r="O255" s="683"/>
      <c r="P255" s="683"/>
      <c r="Q255" s="683"/>
      <c r="R255" s="683"/>
      <c r="S255" s="683"/>
      <c r="T255" s="683"/>
      <c r="U255" s="683"/>
      <c r="V255" s="683"/>
      <c r="W255" s="683"/>
      <c r="X255" s="683"/>
      <c r="Y255" s="683"/>
      <c r="Z255" s="683"/>
      <c r="AA255" s="683"/>
      <c r="AB255" s="683"/>
      <c r="AC255" s="683"/>
      <c r="AD255" s="683"/>
      <c r="AE255" s="683"/>
      <c r="AF255" s="683"/>
      <c r="AG255" s="683"/>
      <c r="AH255" s="683"/>
      <c r="AI255" s="683"/>
      <c r="AJ255" s="683"/>
      <c r="AK255" s="683"/>
    </row>
    <row r="256" spans="9:37" s="235" customFormat="1" x14ac:dyDescent="0.25">
      <c r="I256" s="683"/>
      <c r="J256" s="683"/>
      <c r="K256" s="683"/>
      <c r="L256" s="683"/>
      <c r="M256" s="684"/>
      <c r="N256" s="684"/>
      <c r="O256" s="683"/>
      <c r="P256" s="683"/>
      <c r="Q256" s="683"/>
      <c r="R256" s="683"/>
      <c r="S256" s="683"/>
      <c r="T256" s="683"/>
      <c r="U256" s="683"/>
      <c r="V256" s="683"/>
      <c r="W256" s="683"/>
      <c r="X256" s="683"/>
      <c r="Y256" s="683"/>
      <c r="Z256" s="683"/>
      <c r="AA256" s="683"/>
      <c r="AB256" s="683"/>
      <c r="AC256" s="683"/>
      <c r="AD256" s="683"/>
      <c r="AE256" s="683"/>
      <c r="AF256" s="683"/>
      <c r="AG256" s="683"/>
      <c r="AH256" s="683"/>
      <c r="AI256" s="683"/>
      <c r="AJ256" s="683"/>
      <c r="AK256" s="683"/>
    </row>
    <row r="257" spans="9:37" s="235" customFormat="1" x14ac:dyDescent="0.25">
      <c r="I257" s="683"/>
      <c r="J257" s="683"/>
      <c r="K257" s="683"/>
      <c r="L257" s="683"/>
      <c r="M257" s="684"/>
      <c r="N257" s="684"/>
      <c r="O257" s="683"/>
      <c r="P257" s="683"/>
      <c r="Q257" s="683"/>
      <c r="R257" s="683"/>
      <c r="S257" s="683"/>
      <c r="T257" s="683"/>
      <c r="U257" s="683"/>
      <c r="V257" s="683"/>
      <c r="W257" s="683"/>
      <c r="X257" s="683"/>
      <c r="Y257" s="683"/>
      <c r="Z257" s="683"/>
      <c r="AA257" s="683"/>
      <c r="AB257" s="683"/>
      <c r="AC257" s="683"/>
      <c r="AD257" s="683"/>
      <c r="AE257" s="683"/>
      <c r="AF257" s="683"/>
      <c r="AG257" s="683"/>
      <c r="AH257" s="683"/>
      <c r="AI257" s="683"/>
      <c r="AJ257" s="683"/>
      <c r="AK257" s="683"/>
    </row>
    <row r="258" spans="9:37" s="235" customFormat="1" x14ac:dyDescent="0.25">
      <c r="I258" s="683"/>
      <c r="J258" s="683"/>
      <c r="K258" s="683"/>
      <c r="L258" s="683"/>
      <c r="M258" s="684"/>
      <c r="N258" s="684"/>
      <c r="O258" s="683"/>
      <c r="P258" s="683"/>
      <c r="Q258" s="683"/>
      <c r="R258" s="683"/>
      <c r="S258" s="683"/>
      <c r="T258" s="683"/>
      <c r="U258" s="683"/>
      <c r="V258" s="683"/>
      <c r="W258" s="683"/>
      <c r="X258" s="683"/>
      <c r="Y258" s="683"/>
      <c r="Z258" s="683"/>
      <c r="AA258" s="683"/>
      <c r="AB258" s="683"/>
      <c r="AC258" s="683"/>
      <c r="AD258" s="683"/>
      <c r="AE258" s="683"/>
      <c r="AF258" s="683"/>
      <c r="AG258" s="683"/>
      <c r="AH258" s="683"/>
      <c r="AI258" s="683"/>
      <c r="AJ258" s="683"/>
      <c r="AK258" s="683"/>
    </row>
    <row r="259" spans="9:37" s="235" customFormat="1" x14ac:dyDescent="0.25">
      <c r="I259" s="683"/>
      <c r="J259" s="683"/>
      <c r="K259" s="683"/>
      <c r="L259" s="683"/>
      <c r="M259" s="684"/>
      <c r="N259" s="684"/>
      <c r="O259" s="683"/>
      <c r="P259" s="683"/>
      <c r="Q259" s="683"/>
      <c r="R259" s="683"/>
      <c r="S259" s="683"/>
      <c r="T259" s="683"/>
      <c r="U259" s="683"/>
      <c r="V259" s="683"/>
      <c r="W259" s="683"/>
      <c r="X259" s="683"/>
      <c r="Y259" s="683"/>
      <c r="Z259" s="683"/>
      <c r="AA259" s="683"/>
      <c r="AB259" s="683"/>
      <c r="AC259" s="683"/>
      <c r="AD259" s="683"/>
      <c r="AE259" s="683"/>
      <c r="AF259" s="683"/>
      <c r="AG259" s="683"/>
      <c r="AH259" s="683"/>
      <c r="AI259" s="683"/>
      <c r="AJ259" s="683"/>
      <c r="AK259" s="683"/>
    </row>
    <row r="260" spans="9:37" s="235" customFormat="1" x14ac:dyDescent="0.25">
      <c r="I260" s="683"/>
      <c r="J260" s="683"/>
      <c r="K260" s="683"/>
      <c r="L260" s="683"/>
      <c r="M260" s="684"/>
      <c r="N260" s="684"/>
      <c r="O260" s="683"/>
      <c r="P260" s="683"/>
      <c r="Q260" s="683"/>
      <c r="R260" s="683"/>
      <c r="S260" s="683"/>
      <c r="T260" s="683"/>
      <c r="U260" s="683"/>
      <c r="V260" s="683"/>
      <c r="W260" s="683"/>
      <c r="X260" s="683"/>
      <c r="Y260" s="683"/>
      <c r="Z260" s="683"/>
      <c r="AA260" s="683"/>
      <c r="AB260" s="683"/>
      <c r="AC260" s="683"/>
      <c r="AD260" s="683"/>
      <c r="AE260" s="683"/>
      <c r="AF260" s="683"/>
      <c r="AG260" s="683"/>
      <c r="AH260" s="683"/>
      <c r="AI260" s="683"/>
      <c r="AJ260" s="683"/>
      <c r="AK260" s="683"/>
    </row>
    <row r="261" spans="9:37" s="235" customFormat="1" x14ac:dyDescent="0.25">
      <c r="I261" s="683"/>
      <c r="J261" s="683"/>
      <c r="K261" s="683"/>
      <c r="L261" s="683"/>
      <c r="M261" s="684"/>
      <c r="N261" s="684"/>
      <c r="O261" s="683"/>
      <c r="P261" s="683"/>
      <c r="Q261" s="683"/>
      <c r="R261" s="683"/>
      <c r="S261" s="683"/>
      <c r="T261" s="683"/>
      <c r="U261" s="683"/>
      <c r="V261" s="683"/>
      <c r="W261" s="683"/>
      <c r="X261" s="683"/>
      <c r="Y261" s="683"/>
      <c r="Z261" s="683"/>
      <c r="AA261" s="683"/>
      <c r="AB261" s="683"/>
      <c r="AC261" s="683"/>
      <c r="AD261" s="683"/>
      <c r="AE261" s="683"/>
      <c r="AF261" s="683"/>
      <c r="AG261" s="683"/>
      <c r="AH261" s="683"/>
      <c r="AI261" s="683"/>
      <c r="AJ261" s="683"/>
      <c r="AK261" s="683"/>
    </row>
    <row r="262" spans="9:37" s="235" customFormat="1" x14ac:dyDescent="0.25">
      <c r="I262" s="683"/>
      <c r="J262" s="683"/>
      <c r="K262" s="683"/>
      <c r="L262" s="683"/>
      <c r="M262" s="684"/>
      <c r="N262" s="684"/>
      <c r="O262" s="683"/>
      <c r="P262" s="683"/>
      <c r="Q262" s="683"/>
      <c r="R262" s="683"/>
      <c r="S262" s="683"/>
      <c r="T262" s="683"/>
      <c r="U262" s="683"/>
      <c r="V262" s="683"/>
      <c r="W262" s="683"/>
      <c r="X262" s="683"/>
      <c r="Y262" s="683"/>
      <c r="Z262" s="683"/>
      <c r="AA262" s="683"/>
      <c r="AB262" s="683"/>
      <c r="AC262" s="683"/>
      <c r="AD262" s="683"/>
      <c r="AE262" s="683"/>
      <c r="AF262" s="683"/>
      <c r="AG262" s="683"/>
      <c r="AH262" s="683"/>
      <c r="AI262" s="683"/>
      <c r="AJ262" s="683"/>
      <c r="AK262" s="683"/>
    </row>
    <row r="263" spans="9:37" s="235" customFormat="1" x14ac:dyDescent="0.25">
      <c r="I263" s="683"/>
      <c r="J263" s="683"/>
      <c r="K263" s="683"/>
      <c r="L263" s="683"/>
      <c r="M263" s="684"/>
      <c r="N263" s="684"/>
      <c r="O263" s="683"/>
      <c r="P263" s="683"/>
      <c r="Q263" s="683"/>
      <c r="R263" s="683"/>
      <c r="S263" s="683"/>
      <c r="T263" s="683"/>
      <c r="U263" s="683"/>
      <c r="V263" s="683"/>
      <c r="W263" s="683"/>
      <c r="X263" s="683"/>
      <c r="Y263" s="683"/>
      <c r="Z263" s="683"/>
      <c r="AA263" s="683"/>
      <c r="AB263" s="683"/>
      <c r="AC263" s="683"/>
      <c r="AD263" s="683"/>
      <c r="AE263" s="683"/>
      <c r="AF263" s="683"/>
      <c r="AG263" s="683"/>
      <c r="AH263" s="683"/>
      <c r="AI263" s="683"/>
      <c r="AJ263" s="683"/>
      <c r="AK263" s="683"/>
    </row>
    <row r="264" spans="9:37" s="235" customFormat="1" x14ac:dyDescent="0.25">
      <c r="I264" s="683"/>
      <c r="J264" s="683"/>
      <c r="K264" s="683"/>
      <c r="L264" s="683"/>
      <c r="M264" s="684"/>
      <c r="N264" s="684"/>
      <c r="O264" s="683"/>
      <c r="P264" s="683"/>
      <c r="Q264" s="683"/>
      <c r="R264" s="683"/>
      <c r="S264" s="683"/>
      <c r="T264" s="683"/>
      <c r="U264" s="683"/>
      <c r="V264" s="683"/>
      <c r="W264" s="683"/>
      <c r="X264" s="683"/>
      <c r="Y264" s="683"/>
      <c r="Z264" s="683"/>
      <c r="AA264" s="683"/>
      <c r="AB264" s="683"/>
      <c r="AC264" s="683"/>
      <c r="AD264" s="683"/>
      <c r="AE264" s="683"/>
      <c r="AF264" s="683"/>
      <c r="AG264" s="683"/>
      <c r="AH264" s="683"/>
      <c r="AI264" s="683"/>
      <c r="AJ264" s="683"/>
      <c r="AK264" s="683"/>
    </row>
    <row r="265" spans="9:37" s="235" customFormat="1" x14ac:dyDescent="0.25">
      <c r="I265" s="683"/>
      <c r="J265" s="683"/>
      <c r="K265" s="683"/>
      <c r="L265" s="683"/>
      <c r="M265" s="684"/>
      <c r="N265" s="684"/>
      <c r="O265" s="683"/>
      <c r="P265" s="683"/>
      <c r="Q265" s="683"/>
      <c r="R265" s="683"/>
      <c r="S265" s="683"/>
      <c r="T265" s="683"/>
      <c r="U265" s="683"/>
      <c r="V265" s="683"/>
      <c r="W265" s="683"/>
      <c r="X265" s="683"/>
      <c r="Y265" s="683"/>
      <c r="Z265" s="683"/>
      <c r="AA265" s="683"/>
      <c r="AB265" s="683"/>
      <c r="AC265" s="683"/>
      <c r="AD265" s="683"/>
      <c r="AE265" s="683"/>
      <c r="AF265" s="683"/>
      <c r="AG265" s="683"/>
      <c r="AH265" s="683"/>
      <c r="AI265" s="683"/>
      <c r="AJ265" s="683"/>
      <c r="AK265" s="683"/>
    </row>
    <row r="266" spans="9:37" s="235" customFormat="1" x14ac:dyDescent="0.25">
      <c r="I266" s="683"/>
      <c r="J266" s="683"/>
      <c r="K266" s="683"/>
      <c r="L266" s="683"/>
      <c r="M266" s="684"/>
      <c r="N266" s="684"/>
      <c r="O266" s="683"/>
      <c r="P266" s="683"/>
      <c r="Q266" s="683"/>
      <c r="R266" s="683"/>
      <c r="S266" s="683"/>
      <c r="T266" s="683"/>
      <c r="U266" s="683"/>
      <c r="V266" s="683"/>
      <c r="W266" s="683"/>
      <c r="X266" s="683"/>
      <c r="Y266" s="683"/>
      <c r="Z266" s="683"/>
      <c r="AA266" s="683"/>
      <c r="AB266" s="683"/>
      <c r="AC266" s="683"/>
      <c r="AD266" s="683"/>
      <c r="AE266" s="683"/>
      <c r="AF266" s="683"/>
      <c r="AG266" s="683"/>
      <c r="AH266" s="683"/>
      <c r="AI266" s="683"/>
      <c r="AJ266" s="683"/>
      <c r="AK266" s="683"/>
    </row>
    <row r="267" spans="9:37" s="235" customFormat="1" x14ac:dyDescent="0.25">
      <c r="I267" s="683"/>
      <c r="J267" s="683"/>
      <c r="K267" s="683"/>
      <c r="L267" s="683"/>
      <c r="M267" s="684"/>
      <c r="N267" s="684"/>
      <c r="O267" s="683"/>
      <c r="P267" s="683"/>
      <c r="Q267" s="683"/>
      <c r="R267" s="683"/>
      <c r="S267" s="683"/>
      <c r="T267" s="683"/>
      <c r="U267" s="683"/>
      <c r="V267" s="683"/>
      <c r="W267" s="683"/>
      <c r="X267" s="683"/>
      <c r="Y267" s="683"/>
      <c r="Z267" s="683"/>
      <c r="AA267" s="683"/>
      <c r="AB267" s="683"/>
      <c r="AC267" s="683"/>
      <c r="AD267" s="683"/>
      <c r="AE267" s="683"/>
      <c r="AF267" s="683"/>
      <c r="AG267" s="683"/>
      <c r="AH267" s="683"/>
      <c r="AI267" s="683"/>
      <c r="AJ267" s="683"/>
      <c r="AK267" s="683"/>
    </row>
    <row r="268" spans="9:37" s="235" customFormat="1" x14ac:dyDescent="0.25">
      <c r="I268" s="683"/>
      <c r="J268" s="683"/>
      <c r="K268" s="683"/>
      <c r="L268" s="683"/>
      <c r="M268" s="684"/>
      <c r="N268" s="684"/>
      <c r="O268" s="683"/>
      <c r="P268" s="683"/>
      <c r="Q268" s="683"/>
      <c r="R268" s="683"/>
      <c r="S268" s="683"/>
      <c r="T268" s="683"/>
      <c r="U268" s="683"/>
      <c r="V268" s="683"/>
      <c r="W268" s="683"/>
      <c r="X268" s="683"/>
      <c r="Y268" s="683"/>
      <c r="Z268" s="683"/>
      <c r="AA268" s="683"/>
      <c r="AB268" s="683"/>
      <c r="AC268" s="683"/>
      <c r="AD268" s="683"/>
      <c r="AE268" s="683"/>
      <c r="AF268" s="683"/>
      <c r="AG268" s="683"/>
      <c r="AH268" s="683"/>
      <c r="AI268" s="683"/>
      <c r="AJ268" s="683"/>
      <c r="AK268" s="683"/>
    </row>
    <row r="269" spans="9:37" s="235" customFormat="1" x14ac:dyDescent="0.25">
      <c r="I269" s="683"/>
      <c r="J269" s="683"/>
      <c r="K269" s="683"/>
      <c r="L269" s="683"/>
      <c r="M269" s="684"/>
      <c r="N269" s="684"/>
      <c r="O269" s="683"/>
      <c r="P269" s="683"/>
      <c r="Q269" s="683"/>
      <c r="R269" s="683"/>
      <c r="S269" s="683"/>
      <c r="T269" s="683"/>
      <c r="U269" s="683"/>
      <c r="V269" s="683"/>
      <c r="W269" s="683"/>
      <c r="X269" s="683"/>
      <c r="Y269" s="683"/>
      <c r="Z269" s="683"/>
      <c r="AA269" s="683"/>
      <c r="AB269" s="683"/>
      <c r="AC269" s="683"/>
      <c r="AD269" s="683"/>
      <c r="AE269" s="683"/>
      <c r="AF269" s="683"/>
      <c r="AG269" s="683"/>
      <c r="AH269" s="683"/>
      <c r="AI269" s="683"/>
      <c r="AJ269" s="683"/>
      <c r="AK269" s="683"/>
    </row>
    <row r="270" spans="9:37" s="235" customFormat="1" x14ac:dyDescent="0.25">
      <c r="I270" s="683"/>
      <c r="J270" s="683"/>
      <c r="K270" s="683"/>
      <c r="L270" s="683"/>
      <c r="M270" s="684"/>
      <c r="N270" s="684"/>
      <c r="O270" s="683"/>
      <c r="P270" s="683"/>
      <c r="Q270" s="683"/>
      <c r="R270" s="683"/>
      <c r="S270" s="683"/>
      <c r="T270" s="683"/>
      <c r="U270" s="683"/>
      <c r="V270" s="683"/>
      <c r="W270" s="683"/>
      <c r="X270" s="683"/>
      <c r="Y270" s="683"/>
      <c r="Z270" s="683"/>
      <c r="AA270" s="683"/>
      <c r="AB270" s="683"/>
      <c r="AC270" s="683"/>
      <c r="AD270" s="683"/>
      <c r="AE270" s="683"/>
      <c r="AF270" s="683"/>
      <c r="AG270" s="683"/>
      <c r="AH270" s="683"/>
      <c r="AI270" s="683"/>
      <c r="AJ270" s="683"/>
      <c r="AK270" s="683"/>
    </row>
    <row r="271" spans="9:37" s="235" customFormat="1" x14ac:dyDescent="0.25">
      <c r="I271" s="683"/>
      <c r="J271" s="683"/>
      <c r="K271" s="683"/>
      <c r="L271" s="683"/>
      <c r="M271" s="684"/>
      <c r="N271" s="684"/>
      <c r="O271" s="683"/>
      <c r="P271" s="683"/>
      <c r="Q271" s="683"/>
      <c r="R271" s="683"/>
      <c r="S271" s="683"/>
      <c r="T271" s="683"/>
      <c r="U271" s="683"/>
      <c r="V271" s="683"/>
      <c r="W271" s="683"/>
      <c r="X271" s="683"/>
      <c r="Y271" s="683"/>
      <c r="Z271" s="683"/>
      <c r="AA271" s="683"/>
      <c r="AB271" s="683"/>
      <c r="AC271" s="683"/>
      <c r="AD271" s="683"/>
      <c r="AE271" s="683"/>
      <c r="AF271" s="683"/>
      <c r="AG271" s="683"/>
      <c r="AH271" s="683"/>
      <c r="AI271" s="683"/>
      <c r="AJ271" s="683"/>
      <c r="AK271" s="683"/>
    </row>
    <row r="272" spans="9:37" s="235" customFormat="1" x14ac:dyDescent="0.25">
      <c r="I272" s="683"/>
      <c r="J272" s="683"/>
      <c r="K272" s="683"/>
      <c r="L272" s="683"/>
      <c r="M272" s="684"/>
      <c r="N272" s="684"/>
      <c r="O272" s="683"/>
      <c r="P272" s="683"/>
      <c r="Q272" s="683"/>
      <c r="R272" s="683"/>
      <c r="S272" s="683"/>
      <c r="T272" s="683"/>
      <c r="U272" s="683"/>
      <c r="V272" s="683"/>
      <c r="W272" s="683"/>
      <c r="X272" s="683"/>
      <c r="Y272" s="683"/>
      <c r="Z272" s="683"/>
      <c r="AA272" s="683"/>
      <c r="AB272" s="683"/>
      <c r="AC272" s="683"/>
      <c r="AD272" s="683"/>
      <c r="AE272" s="683"/>
      <c r="AF272" s="683"/>
      <c r="AG272" s="683"/>
      <c r="AH272" s="683"/>
      <c r="AI272" s="683"/>
      <c r="AJ272" s="683"/>
      <c r="AK272" s="683"/>
    </row>
    <row r="273" spans="9:37" s="235" customFormat="1" x14ac:dyDescent="0.25">
      <c r="I273" s="683"/>
      <c r="J273" s="683"/>
      <c r="K273" s="683"/>
      <c r="L273" s="683"/>
      <c r="M273" s="684"/>
      <c r="N273" s="684"/>
      <c r="O273" s="683"/>
      <c r="P273" s="683"/>
      <c r="Q273" s="683"/>
      <c r="R273" s="683"/>
      <c r="S273" s="683"/>
      <c r="T273" s="683"/>
      <c r="U273" s="683"/>
      <c r="V273" s="683"/>
      <c r="W273" s="683"/>
      <c r="X273" s="683"/>
      <c r="Y273" s="683"/>
      <c r="Z273" s="683"/>
      <c r="AA273" s="683"/>
      <c r="AB273" s="683"/>
      <c r="AC273" s="683"/>
      <c r="AD273" s="683"/>
      <c r="AE273" s="683"/>
      <c r="AF273" s="683"/>
      <c r="AG273" s="683"/>
      <c r="AH273" s="683"/>
      <c r="AI273" s="683"/>
      <c r="AJ273" s="683"/>
      <c r="AK273" s="683"/>
    </row>
    <row r="274" spans="9:37" s="235" customFormat="1" x14ac:dyDescent="0.25">
      <c r="I274" s="683"/>
      <c r="J274" s="683"/>
      <c r="K274" s="683"/>
      <c r="L274" s="683"/>
      <c r="M274" s="684"/>
      <c r="N274" s="684"/>
      <c r="O274" s="683"/>
      <c r="P274" s="683"/>
      <c r="Q274" s="683"/>
      <c r="R274" s="683"/>
      <c r="S274" s="683"/>
      <c r="T274" s="683"/>
      <c r="U274" s="683"/>
      <c r="V274" s="683"/>
      <c r="W274" s="683"/>
      <c r="X274" s="683"/>
      <c r="Y274" s="683"/>
      <c r="Z274" s="683"/>
      <c r="AA274" s="683"/>
      <c r="AB274" s="683"/>
      <c r="AC274" s="683"/>
      <c r="AD274" s="683"/>
      <c r="AE274" s="683"/>
      <c r="AF274" s="683"/>
      <c r="AG274" s="683"/>
      <c r="AH274" s="683"/>
      <c r="AI274" s="683"/>
      <c r="AJ274" s="683"/>
      <c r="AK274" s="683"/>
    </row>
    <row r="275" spans="9:37" s="235" customFormat="1" x14ac:dyDescent="0.25">
      <c r="I275" s="683"/>
      <c r="J275" s="683"/>
      <c r="K275" s="683"/>
      <c r="L275" s="683"/>
      <c r="M275" s="684"/>
      <c r="N275" s="684"/>
      <c r="O275" s="683"/>
      <c r="P275" s="683"/>
      <c r="Q275" s="683"/>
      <c r="R275" s="683"/>
      <c r="S275" s="683"/>
      <c r="T275" s="683"/>
      <c r="U275" s="683"/>
      <c r="V275" s="683"/>
      <c r="W275" s="683"/>
      <c r="X275" s="683"/>
      <c r="Y275" s="683"/>
      <c r="Z275" s="683"/>
      <c r="AA275" s="683"/>
      <c r="AB275" s="683"/>
      <c r="AC275" s="683"/>
      <c r="AD275" s="683"/>
      <c r="AE275" s="683"/>
      <c r="AF275" s="683"/>
      <c r="AG275" s="683"/>
      <c r="AH275" s="683"/>
      <c r="AI275" s="683"/>
      <c r="AJ275" s="683"/>
      <c r="AK275" s="683"/>
    </row>
    <row r="276" spans="9:37" s="235" customFormat="1" x14ac:dyDescent="0.25">
      <c r="I276" s="683"/>
      <c r="J276" s="683"/>
      <c r="K276" s="683"/>
      <c r="L276" s="683"/>
      <c r="M276" s="684"/>
      <c r="N276" s="684"/>
      <c r="O276" s="683"/>
      <c r="P276" s="683"/>
      <c r="Q276" s="683"/>
      <c r="R276" s="683"/>
      <c r="S276" s="683"/>
      <c r="T276" s="683"/>
      <c r="U276" s="683"/>
      <c r="V276" s="683"/>
      <c r="W276" s="683"/>
      <c r="X276" s="683"/>
      <c r="Y276" s="683"/>
      <c r="Z276" s="683"/>
      <c r="AA276" s="683"/>
      <c r="AB276" s="683"/>
      <c r="AC276" s="683"/>
      <c r="AD276" s="683"/>
      <c r="AE276" s="683"/>
      <c r="AF276" s="683"/>
      <c r="AG276" s="683"/>
      <c r="AH276" s="683"/>
      <c r="AI276" s="683"/>
      <c r="AJ276" s="683"/>
      <c r="AK276" s="683"/>
    </row>
    <row r="277" spans="9:37" s="235" customFormat="1" x14ac:dyDescent="0.25">
      <c r="I277" s="683"/>
      <c r="J277" s="683"/>
      <c r="K277" s="683"/>
      <c r="L277" s="683"/>
      <c r="M277" s="684"/>
      <c r="N277" s="684"/>
      <c r="O277" s="683"/>
      <c r="P277" s="683"/>
      <c r="Q277" s="683"/>
      <c r="R277" s="683"/>
      <c r="S277" s="683"/>
      <c r="T277" s="683"/>
      <c r="U277" s="683"/>
      <c r="V277" s="683"/>
      <c r="W277" s="683"/>
      <c r="X277" s="683"/>
      <c r="Y277" s="683"/>
      <c r="Z277" s="683"/>
      <c r="AA277" s="683"/>
      <c r="AB277" s="683"/>
      <c r="AC277" s="683"/>
      <c r="AD277" s="683"/>
      <c r="AE277" s="683"/>
      <c r="AF277" s="683"/>
      <c r="AG277" s="683"/>
      <c r="AH277" s="683"/>
      <c r="AI277" s="683"/>
      <c r="AJ277" s="683"/>
      <c r="AK277" s="683"/>
    </row>
    <row r="278" spans="9:37" s="235" customFormat="1" x14ac:dyDescent="0.25">
      <c r="I278" s="683"/>
      <c r="J278" s="683"/>
      <c r="K278" s="683"/>
      <c r="L278" s="683"/>
      <c r="M278" s="684"/>
      <c r="N278" s="684"/>
      <c r="O278" s="683"/>
      <c r="P278" s="683"/>
      <c r="Q278" s="683"/>
      <c r="R278" s="683"/>
      <c r="S278" s="683"/>
      <c r="T278" s="683"/>
      <c r="U278" s="683"/>
      <c r="V278" s="683"/>
      <c r="W278" s="683"/>
      <c r="X278" s="683"/>
      <c r="Y278" s="683"/>
      <c r="Z278" s="683"/>
      <c r="AA278" s="683"/>
      <c r="AB278" s="683"/>
      <c r="AC278" s="683"/>
      <c r="AD278" s="683"/>
      <c r="AE278" s="683"/>
      <c r="AF278" s="683"/>
      <c r="AG278" s="683"/>
      <c r="AH278" s="683"/>
      <c r="AI278" s="683"/>
      <c r="AJ278" s="683"/>
      <c r="AK278" s="683"/>
    </row>
    <row r="279" spans="9:37" s="235" customFormat="1" x14ac:dyDescent="0.25">
      <c r="I279" s="683"/>
      <c r="J279" s="683"/>
      <c r="K279" s="683"/>
      <c r="L279" s="683"/>
      <c r="M279" s="684"/>
      <c r="N279" s="684"/>
      <c r="O279" s="683"/>
      <c r="P279" s="683"/>
      <c r="Q279" s="683"/>
      <c r="R279" s="683"/>
      <c r="S279" s="683"/>
      <c r="T279" s="683"/>
      <c r="U279" s="683"/>
      <c r="V279" s="683"/>
      <c r="W279" s="683"/>
      <c r="X279" s="683"/>
      <c r="Y279" s="683"/>
      <c r="Z279" s="683"/>
      <c r="AA279" s="683"/>
      <c r="AB279" s="683"/>
      <c r="AC279" s="683"/>
      <c r="AD279" s="683"/>
      <c r="AE279" s="683"/>
      <c r="AF279" s="683"/>
      <c r="AG279" s="683"/>
      <c r="AH279" s="683"/>
      <c r="AI279" s="683"/>
      <c r="AJ279" s="683"/>
      <c r="AK279" s="683"/>
    </row>
    <row r="280" spans="9:37" s="235" customFormat="1" x14ac:dyDescent="0.25">
      <c r="I280" s="683"/>
      <c r="J280" s="683"/>
      <c r="K280" s="683"/>
      <c r="L280" s="683"/>
      <c r="M280" s="684"/>
      <c r="N280" s="684"/>
      <c r="O280" s="683"/>
      <c r="P280" s="683"/>
      <c r="Q280" s="683"/>
      <c r="R280" s="683"/>
      <c r="S280" s="683"/>
      <c r="T280" s="683"/>
      <c r="U280" s="683"/>
      <c r="V280" s="683"/>
      <c r="W280" s="683"/>
      <c r="X280" s="683"/>
      <c r="Y280" s="683"/>
      <c r="Z280" s="683"/>
      <c r="AA280" s="683"/>
      <c r="AB280" s="683"/>
      <c r="AC280" s="683"/>
      <c r="AD280" s="683"/>
      <c r="AE280" s="683"/>
      <c r="AF280" s="683"/>
      <c r="AG280" s="683"/>
      <c r="AH280" s="683"/>
      <c r="AI280" s="683"/>
      <c r="AJ280" s="683"/>
      <c r="AK280" s="683"/>
    </row>
    <row r="281" spans="9:37" s="235" customFormat="1" x14ac:dyDescent="0.25">
      <c r="I281" s="683"/>
      <c r="J281" s="683"/>
      <c r="K281" s="683"/>
      <c r="L281" s="683"/>
      <c r="M281" s="684"/>
      <c r="N281" s="684"/>
      <c r="O281" s="683"/>
      <c r="P281" s="683"/>
      <c r="Q281" s="683"/>
      <c r="R281" s="683"/>
      <c r="S281" s="683"/>
      <c r="T281" s="683"/>
      <c r="U281" s="683"/>
      <c r="V281" s="683"/>
      <c r="W281" s="683"/>
      <c r="X281" s="683"/>
      <c r="Y281" s="683"/>
      <c r="Z281" s="683"/>
      <c r="AA281" s="683"/>
      <c r="AB281" s="683"/>
      <c r="AC281" s="683"/>
      <c r="AD281" s="683"/>
      <c r="AE281" s="683"/>
      <c r="AF281" s="683"/>
      <c r="AG281" s="683"/>
      <c r="AH281" s="683"/>
      <c r="AI281" s="683"/>
      <c r="AJ281" s="683"/>
      <c r="AK281" s="683"/>
    </row>
    <row r="282" spans="9:37" s="235" customFormat="1" x14ac:dyDescent="0.25">
      <c r="I282" s="683"/>
      <c r="J282" s="683"/>
      <c r="K282" s="683"/>
      <c r="L282" s="683"/>
      <c r="M282" s="684"/>
      <c r="N282" s="684"/>
      <c r="O282" s="683"/>
      <c r="P282" s="683"/>
      <c r="Q282" s="683"/>
      <c r="R282" s="683"/>
      <c r="S282" s="683"/>
      <c r="T282" s="683"/>
      <c r="U282" s="683"/>
      <c r="V282" s="683"/>
      <c r="W282" s="683"/>
      <c r="X282" s="683"/>
      <c r="Y282" s="683"/>
      <c r="Z282" s="683"/>
      <c r="AA282" s="683"/>
      <c r="AB282" s="683"/>
      <c r="AC282" s="683"/>
      <c r="AD282" s="683"/>
      <c r="AE282" s="683"/>
      <c r="AF282" s="683"/>
      <c r="AG282" s="683"/>
      <c r="AH282" s="683"/>
      <c r="AI282" s="683"/>
      <c r="AJ282" s="683"/>
      <c r="AK282" s="683"/>
    </row>
    <row r="283" spans="9:37" s="235" customFormat="1" x14ac:dyDescent="0.25">
      <c r="I283" s="683"/>
      <c r="J283" s="683"/>
      <c r="K283" s="683"/>
      <c r="L283" s="683"/>
      <c r="M283" s="684"/>
      <c r="N283" s="684"/>
      <c r="O283" s="683"/>
      <c r="P283" s="683"/>
      <c r="Q283" s="683"/>
      <c r="R283" s="683"/>
      <c r="S283" s="683"/>
      <c r="T283" s="683"/>
      <c r="U283" s="683"/>
      <c r="V283" s="683"/>
      <c r="W283" s="683"/>
      <c r="X283" s="683"/>
      <c r="Y283" s="683"/>
      <c r="Z283" s="683"/>
      <c r="AA283" s="683"/>
      <c r="AB283" s="683"/>
      <c r="AC283" s="683"/>
      <c r="AD283" s="683"/>
      <c r="AE283" s="683"/>
      <c r="AF283" s="683"/>
      <c r="AG283" s="683"/>
      <c r="AH283" s="683"/>
      <c r="AI283" s="683"/>
      <c r="AJ283" s="683"/>
      <c r="AK283" s="683"/>
    </row>
    <row r="284" spans="9:37" s="235" customFormat="1" x14ac:dyDescent="0.25">
      <c r="I284" s="683"/>
      <c r="J284" s="683"/>
      <c r="K284" s="683"/>
      <c r="L284" s="683"/>
      <c r="M284" s="684"/>
      <c r="N284" s="684"/>
      <c r="O284" s="683"/>
      <c r="P284" s="683"/>
      <c r="Q284" s="683"/>
      <c r="R284" s="683"/>
      <c r="S284" s="683"/>
      <c r="T284" s="683"/>
      <c r="U284" s="683"/>
      <c r="V284" s="683"/>
      <c r="W284" s="683"/>
      <c r="X284" s="683"/>
      <c r="Y284" s="683"/>
      <c r="Z284" s="683"/>
      <c r="AA284" s="683"/>
      <c r="AB284" s="683"/>
      <c r="AC284" s="683"/>
      <c r="AD284" s="683"/>
      <c r="AE284" s="683"/>
      <c r="AF284" s="683"/>
      <c r="AG284" s="683"/>
      <c r="AH284" s="683"/>
      <c r="AI284" s="683"/>
      <c r="AJ284" s="683"/>
      <c r="AK284" s="683"/>
    </row>
    <row r="285" spans="9:37" s="235" customFormat="1" x14ac:dyDescent="0.25">
      <c r="I285" s="683"/>
      <c r="J285" s="683"/>
      <c r="K285" s="683"/>
      <c r="L285" s="683"/>
      <c r="M285" s="684"/>
      <c r="N285" s="684"/>
      <c r="O285" s="683"/>
      <c r="P285" s="683"/>
      <c r="Q285" s="683"/>
      <c r="R285" s="683"/>
      <c r="S285" s="683"/>
      <c r="T285" s="683"/>
      <c r="U285" s="683"/>
      <c r="V285" s="683"/>
      <c r="W285" s="683"/>
      <c r="X285" s="683"/>
      <c r="Y285" s="683"/>
      <c r="Z285" s="683"/>
      <c r="AA285" s="683"/>
      <c r="AB285" s="683"/>
      <c r="AC285" s="683"/>
      <c r="AD285" s="683"/>
      <c r="AE285" s="683"/>
      <c r="AF285" s="683"/>
      <c r="AG285" s="683"/>
      <c r="AH285" s="683"/>
      <c r="AI285" s="683"/>
      <c r="AJ285" s="683"/>
      <c r="AK285" s="683"/>
    </row>
    <row r="286" spans="9:37" s="235" customFormat="1" x14ac:dyDescent="0.25">
      <c r="I286" s="683"/>
      <c r="J286" s="683"/>
      <c r="K286" s="683"/>
      <c r="L286" s="683"/>
      <c r="M286" s="684"/>
      <c r="N286" s="684"/>
      <c r="O286" s="683"/>
      <c r="P286" s="683"/>
      <c r="Q286" s="683"/>
      <c r="R286" s="683"/>
      <c r="S286" s="683"/>
      <c r="T286" s="683"/>
      <c r="U286" s="683"/>
      <c r="V286" s="683"/>
      <c r="W286" s="683"/>
      <c r="X286" s="683"/>
      <c r="Y286" s="683"/>
      <c r="Z286" s="683"/>
      <c r="AA286" s="683"/>
      <c r="AB286" s="683"/>
      <c r="AC286" s="683"/>
      <c r="AD286" s="683"/>
      <c r="AE286" s="683"/>
      <c r="AF286" s="683"/>
      <c r="AG286" s="683"/>
      <c r="AH286" s="683"/>
      <c r="AI286" s="683"/>
      <c r="AJ286" s="683"/>
      <c r="AK286" s="683"/>
    </row>
    <row r="287" spans="9:37" s="235" customFormat="1" x14ac:dyDescent="0.25">
      <c r="I287" s="683"/>
      <c r="J287" s="683"/>
      <c r="K287" s="683"/>
      <c r="L287" s="683"/>
      <c r="M287" s="684"/>
      <c r="N287" s="684"/>
      <c r="O287" s="683"/>
      <c r="P287" s="683"/>
      <c r="Q287" s="683"/>
      <c r="R287" s="683"/>
      <c r="S287" s="683"/>
      <c r="T287" s="683"/>
      <c r="U287" s="683"/>
      <c r="V287" s="683"/>
      <c r="W287" s="683"/>
      <c r="X287" s="683"/>
      <c r="Y287" s="683"/>
      <c r="Z287" s="683"/>
      <c r="AA287" s="683"/>
      <c r="AB287" s="683"/>
      <c r="AC287" s="683"/>
      <c r="AD287" s="683"/>
      <c r="AE287" s="683"/>
      <c r="AF287" s="683"/>
      <c r="AG287" s="683"/>
      <c r="AH287" s="683"/>
      <c r="AI287" s="683"/>
      <c r="AJ287" s="683"/>
      <c r="AK287" s="683"/>
    </row>
    <row r="288" spans="9:37" s="235" customFormat="1" x14ac:dyDescent="0.25">
      <c r="I288" s="683"/>
      <c r="J288" s="683"/>
      <c r="K288" s="683"/>
      <c r="L288" s="683"/>
      <c r="M288" s="684"/>
      <c r="N288" s="684"/>
      <c r="O288" s="683"/>
      <c r="P288" s="683"/>
      <c r="Q288" s="683"/>
      <c r="R288" s="683"/>
      <c r="S288" s="683"/>
      <c r="T288" s="683"/>
      <c r="U288" s="683"/>
      <c r="V288" s="683"/>
      <c r="W288" s="683"/>
      <c r="X288" s="683"/>
      <c r="Y288" s="683"/>
      <c r="Z288" s="683"/>
      <c r="AA288" s="683"/>
      <c r="AB288" s="683"/>
      <c r="AC288" s="683"/>
      <c r="AD288" s="683"/>
      <c r="AE288" s="683"/>
      <c r="AF288" s="683"/>
      <c r="AG288" s="683"/>
      <c r="AH288" s="683"/>
      <c r="AI288" s="683"/>
      <c r="AJ288" s="683"/>
      <c r="AK288" s="683"/>
    </row>
    <row r="289" spans="9:37" s="235" customFormat="1" x14ac:dyDescent="0.25">
      <c r="I289" s="683"/>
      <c r="J289" s="683"/>
      <c r="K289" s="683"/>
      <c r="L289" s="683"/>
      <c r="M289" s="684"/>
      <c r="N289" s="684"/>
      <c r="O289" s="683"/>
      <c r="P289" s="683"/>
      <c r="Q289" s="683"/>
      <c r="R289" s="683"/>
      <c r="S289" s="683"/>
      <c r="T289" s="683"/>
      <c r="U289" s="683"/>
      <c r="V289" s="683"/>
      <c r="W289" s="683"/>
      <c r="X289" s="683"/>
      <c r="Y289" s="683"/>
      <c r="Z289" s="683"/>
      <c r="AA289" s="683"/>
      <c r="AB289" s="683"/>
      <c r="AC289" s="683"/>
      <c r="AD289" s="683"/>
      <c r="AE289" s="683"/>
      <c r="AF289" s="683"/>
      <c r="AG289" s="683"/>
      <c r="AH289" s="683"/>
      <c r="AI289" s="683"/>
      <c r="AJ289" s="683"/>
      <c r="AK289" s="683"/>
    </row>
    <row r="290" spans="9:37" s="235" customFormat="1" x14ac:dyDescent="0.25">
      <c r="I290" s="683"/>
      <c r="J290" s="683"/>
      <c r="K290" s="683"/>
      <c r="L290" s="683"/>
      <c r="M290" s="684"/>
      <c r="N290" s="684"/>
      <c r="O290" s="683"/>
      <c r="P290" s="683"/>
      <c r="Q290" s="683"/>
      <c r="R290" s="683"/>
      <c r="S290" s="683"/>
      <c r="T290" s="683"/>
      <c r="U290" s="683"/>
      <c r="V290" s="683"/>
      <c r="W290" s="683"/>
      <c r="X290" s="683"/>
      <c r="Y290" s="683"/>
      <c r="Z290" s="683"/>
      <c r="AA290" s="683"/>
      <c r="AB290" s="683"/>
      <c r="AC290" s="683"/>
      <c r="AD290" s="683"/>
      <c r="AE290" s="683"/>
      <c r="AF290" s="683"/>
      <c r="AG290" s="683"/>
      <c r="AH290" s="683"/>
      <c r="AI290" s="683"/>
      <c r="AJ290" s="683"/>
      <c r="AK290" s="683"/>
    </row>
    <row r="291" spans="9:37" s="235" customFormat="1" x14ac:dyDescent="0.25">
      <c r="I291" s="683"/>
      <c r="J291" s="683"/>
      <c r="K291" s="683"/>
      <c r="L291" s="683"/>
      <c r="M291" s="684"/>
      <c r="N291" s="684"/>
      <c r="O291" s="683"/>
      <c r="P291" s="683"/>
      <c r="Q291" s="683"/>
      <c r="R291" s="683"/>
      <c r="S291" s="683"/>
      <c r="T291" s="683"/>
      <c r="U291" s="683"/>
      <c r="V291" s="683"/>
      <c r="W291" s="683"/>
      <c r="X291" s="683"/>
      <c r="Y291" s="683"/>
      <c r="Z291" s="683"/>
      <c r="AA291" s="683"/>
      <c r="AB291" s="683"/>
      <c r="AC291" s="683"/>
      <c r="AD291" s="683"/>
      <c r="AE291" s="683"/>
      <c r="AF291" s="683"/>
      <c r="AG291" s="683"/>
      <c r="AH291" s="683"/>
      <c r="AI291" s="683"/>
      <c r="AJ291" s="683"/>
      <c r="AK291" s="683"/>
    </row>
    <row r="292" spans="9:37" s="235" customFormat="1" x14ac:dyDescent="0.25">
      <c r="I292" s="683"/>
      <c r="J292" s="683"/>
      <c r="K292" s="683"/>
      <c r="L292" s="683"/>
      <c r="M292" s="684"/>
      <c r="N292" s="684"/>
      <c r="O292" s="683"/>
      <c r="P292" s="683"/>
      <c r="Q292" s="683"/>
      <c r="R292" s="683"/>
      <c r="S292" s="683"/>
      <c r="T292" s="683"/>
      <c r="U292" s="683"/>
      <c r="V292" s="683"/>
      <c r="W292" s="683"/>
      <c r="X292" s="683"/>
      <c r="Y292" s="683"/>
      <c r="Z292" s="683"/>
      <c r="AA292" s="683"/>
      <c r="AB292" s="683"/>
      <c r="AC292" s="683"/>
      <c r="AD292" s="683"/>
      <c r="AE292" s="683"/>
      <c r="AF292" s="683"/>
      <c r="AG292" s="683"/>
      <c r="AH292" s="683"/>
      <c r="AI292" s="683"/>
      <c r="AJ292" s="683"/>
      <c r="AK292" s="683"/>
    </row>
    <row r="293" spans="9:37" s="235" customFormat="1" x14ac:dyDescent="0.25">
      <c r="I293" s="683"/>
      <c r="J293" s="683"/>
      <c r="K293" s="683"/>
      <c r="L293" s="683"/>
      <c r="M293" s="684"/>
      <c r="N293" s="684"/>
      <c r="O293" s="683"/>
      <c r="P293" s="683"/>
      <c r="Q293" s="683"/>
      <c r="R293" s="683"/>
      <c r="S293" s="683"/>
      <c r="T293" s="683"/>
      <c r="U293" s="683"/>
      <c r="V293" s="683"/>
      <c r="W293" s="683"/>
      <c r="X293" s="683"/>
      <c r="Y293" s="683"/>
      <c r="Z293" s="683"/>
      <c r="AA293" s="683"/>
      <c r="AB293" s="683"/>
      <c r="AC293" s="683"/>
      <c r="AD293" s="683"/>
      <c r="AE293" s="683"/>
      <c r="AF293" s="683"/>
      <c r="AG293" s="683"/>
      <c r="AH293" s="683"/>
      <c r="AI293" s="683"/>
      <c r="AJ293" s="683"/>
      <c r="AK293" s="683"/>
    </row>
    <row r="294" spans="9:37" s="235" customFormat="1" x14ac:dyDescent="0.25">
      <c r="I294" s="683"/>
      <c r="J294" s="683"/>
      <c r="K294" s="683"/>
      <c r="L294" s="683"/>
      <c r="M294" s="684"/>
      <c r="N294" s="684"/>
      <c r="O294" s="683"/>
      <c r="P294" s="683"/>
      <c r="Q294" s="683"/>
      <c r="R294" s="683"/>
      <c r="S294" s="683"/>
      <c r="T294" s="683"/>
      <c r="U294" s="683"/>
      <c r="V294" s="683"/>
      <c r="W294" s="683"/>
      <c r="X294" s="683"/>
      <c r="Y294" s="683"/>
      <c r="Z294" s="683"/>
      <c r="AA294" s="683"/>
      <c r="AB294" s="683"/>
      <c r="AC294" s="683"/>
      <c r="AD294" s="683"/>
      <c r="AE294" s="683"/>
      <c r="AF294" s="683"/>
      <c r="AG294" s="683"/>
      <c r="AH294" s="683"/>
      <c r="AI294" s="683"/>
      <c r="AJ294" s="683"/>
      <c r="AK294" s="683"/>
    </row>
    <row r="295" spans="9:37" s="235" customFormat="1" x14ac:dyDescent="0.25">
      <c r="I295" s="683"/>
      <c r="J295" s="683"/>
      <c r="K295" s="683"/>
      <c r="L295" s="683"/>
      <c r="M295" s="684"/>
      <c r="N295" s="684"/>
      <c r="O295" s="683"/>
      <c r="P295" s="683"/>
      <c r="Q295" s="683"/>
      <c r="R295" s="683"/>
      <c r="S295" s="683"/>
      <c r="T295" s="683"/>
      <c r="U295" s="683"/>
      <c r="V295" s="683"/>
      <c r="W295" s="683"/>
      <c r="X295" s="683"/>
      <c r="Y295" s="683"/>
      <c r="Z295" s="683"/>
      <c r="AA295" s="683"/>
      <c r="AB295" s="683"/>
      <c r="AC295" s="683"/>
      <c r="AD295" s="683"/>
      <c r="AE295" s="683"/>
      <c r="AF295" s="683"/>
      <c r="AG295" s="683"/>
      <c r="AH295" s="683"/>
      <c r="AI295" s="683"/>
      <c r="AJ295" s="683"/>
      <c r="AK295" s="683"/>
    </row>
    <row r="296" spans="9:37" s="235" customFormat="1" x14ac:dyDescent="0.25">
      <c r="I296" s="683"/>
      <c r="J296" s="683"/>
      <c r="K296" s="683"/>
      <c r="L296" s="683"/>
      <c r="M296" s="684"/>
      <c r="N296" s="684"/>
      <c r="O296" s="683"/>
      <c r="P296" s="683"/>
      <c r="Q296" s="683"/>
      <c r="R296" s="683"/>
      <c r="S296" s="683"/>
      <c r="T296" s="683"/>
      <c r="U296" s="683"/>
      <c r="V296" s="683"/>
      <c r="W296" s="683"/>
      <c r="X296" s="683"/>
      <c r="Y296" s="683"/>
      <c r="Z296" s="683"/>
      <c r="AA296" s="683"/>
      <c r="AB296" s="683"/>
      <c r="AC296" s="683"/>
      <c r="AD296" s="683"/>
      <c r="AE296" s="683"/>
      <c r="AF296" s="683"/>
      <c r="AG296" s="683"/>
      <c r="AH296" s="683"/>
      <c r="AI296" s="683"/>
      <c r="AJ296" s="683"/>
      <c r="AK296" s="683"/>
    </row>
    <row r="297" spans="9:37" s="235" customFormat="1" x14ac:dyDescent="0.25">
      <c r="I297" s="683"/>
      <c r="J297" s="683"/>
      <c r="K297" s="683"/>
      <c r="L297" s="683"/>
      <c r="M297" s="684"/>
      <c r="N297" s="684"/>
      <c r="O297" s="683"/>
      <c r="P297" s="683"/>
      <c r="Q297" s="683"/>
      <c r="R297" s="683"/>
      <c r="S297" s="683"/>
      <c r="T297" s="683"/>
      <c r="U297" s="683"/>
      <c r="V297" s="683"/>
      <c r="W297" s="683"/>
      <c r="X297" s="683"/>
      <c r="Y297" s="683"/>
      <c r="Z297" s="683"/>
      <c r="AA297" s="683"/>
      <c r="AB297" s="683"/>
      <c r="AC297" s="683"/>
      <c r="AD297" s="683"/>
      <c r="AE297" s="683"/>
      <c r="AF297" s="683"/>
      <c r="AG297" s="683"/>
      <c r="AH297" s="683"/>
      <c r="AI297" s="683"/>
      <c r="AJ297" s="683"/>
      <c r="AK297" s="683"/>
    </row>
    <row r="298" spans="9:37" s="235" customFormat="1" x14ac:dyDescent="0.25">
      <c r="I298" s="683"/>
      <c r="J298" s="683"/>
      <c r="K298" s="683"/>
      <c r="L298" s="683"/>
      <c r="M298" s="684"/>
      <c r="N298" s="684"/>
      <c r="O298" s="683"/>
      <c r="P298" s="683"/>
      <c r="Q298" s="683"/>
      <c r="R298" s="683"/>
      <c r="S298" s="683"/>
      <c r="T298" s="683"/>
      <c r="U298" s="683"/>
      <c r="V298" s="683"/>
      <c r="W298" s="683"/>
      <c r="X298" s="683"/>
      <c r="Y298" s="683"/>
      <c r="Z298" s="683"/>
      <c r="AA298" s="683"/>
      <c r="AB298" s="683"/>
      <c r="AC298" s="683"/>
      <c r="AD298" s="683"/>
      <c r="AE298" s="683"/>
      <c r="AF298" s="683"/>
      <c r="AG298" s="683"/>
      <c r="AH298" s="683"/>
      <c r="AI298" s="683"/>
      <c r="AJ298" s="683"/>
      <c r="AK298" s="683"/>
    </row>
    <row r="299" spans="9:37" s="235" customFormat="1" x14ac:dyDescent="0.25">
      <c r="I299" s="683"/>
      <c r="J299" s="683"/>
      <c r="K299" s="683"/>
      <c r="L299" s="683"/>
      <c r="M299" s="684"/>
      <c r="N299" s="684"/>
      <c r="O299" s="683"/>
      <c r="P299" s="683"/>
      <c r="Q299" s="683"/>
      <c r="R299" s="683"/>
      <c r="S299" s="683"/>
      <c r="T299" s="683"/>
      <c r="U299" s="683"/>
      <c r="V299" s="683"/>
      <c r="W299" s="683"/>
      <c r="X299" s="683"/>
      <c r="Y299" s="683"/>
      <c r="Z299" s="683"/>
      <c r="AA299" s="683"/>
      <c r="AB299" s="683"/>
      <c r="AC299" s="683"/>
      <c r="AD299" s="683"/>
      <c r="AE299" s="683"/>
      <c r="AF299" s="683"/>
      <c r="AG299" s="683"/>
      <c r="AH299" s="683"/>
      <c r="AI299" s="683"/>
      <c r="AJ299" s="683"/>
      <c r="AK299" s="683"/>
    </row>
    <row r="300" spans="9:37" s="235" customFormat="1" x14ac:dyDescent="0.25">
      <c r="I300" s="683"/>
      <c r="J300" s="683"/>
      <c r="K300" s="683"/>
      <c r="L300" s="683"/>
      <c r="M300" s="684"/>
      <c r="N300" s="684"/>
      <c r="O300" s="683"/>
      <c r="P300" s="683"/>
      <c r="Q300" s="683"/>
      <c r="R300" s="683"/>
      <c r="S300" s="683"/>
      <c r="T300" s="683"/>
      <c r="U300" s="683"/>
      <c r="V300" s="683"/>
      <c r="W300" s="683"/>
      <c r="X300" s="683"/>
      <c r="Y300" s="683"/>
      <c r="Z300" s="683"/>
      <c r="AA300" s="683"/>
      <c r="AB300" s="683"/>
      <c r="AC300" s="683"/>
      <c r="AD300" s="683"/>
      <c r="AE300" s="683"/>
      <c r="AF300" s="683"/>
      <c r="AG300" s="683"/>
      <c r="AH300" s="683"/>
      <c r="AI300" s="683"/>
      <c r="AJ300" s="683"/>
      <c r="AK300" s="683"/>
    </row>
    <row r="301" spans="9:37" s="235" customFormat="1" x14ac:dyDescent="0.25">
      <c r="I301" s="683"/>
      <c r="J301" s="683"/>
      <c r="K301" s="683"/>
      <c r="L301" s="683"/>
      <c r="M301" s="684"/>
      <c r="N301" s="684"/>
      <c r="O301" s="683"/>
      <c r="P301" s="683"/>
      <c r="Q301" s="683"/>
      <c r="R301" s="683"/>
      <c r="S301" s="683"/>
      <c r="T301" s="683"/>
      <c r="U301" s="683"/>
      <c r="V301" s="683"/>
      <c r="W301" s="683"/>
      <c r="X301" s="683"/>
      <c r="Y301" s="683"/>
      <c r="Z301" s="683"/>
      <c r="AA301" s="683"/>
      <c r="AB301" s="683"/>
      <c r="AC301" s="683"/>
      <c r="AD301" s="683"/>
      <c r="AE301" s="683"/>
      <c r="AF301" s="683"/>
      <c r="AG301" s="683"/>
      <c r="AH301" s="683"/>
      <c r="AI301" s="683"/>
      <c r="AJ301" s="683"/>
      <c r="AK301" s="683"/>
    </row>
    <row r="302" spans="9:37" s="235" customFormat="1" x14ac:dyDescent="0.25">
      <c r="I302" s="683"/>
      <c r="J302" s="683"/>
      <c r="K302" s="683"/>
      <c r="L302" s="683"/>
      <c r="M302" s="684"/>
      <c r="N302" s="684"/>
      <c r="O302" s="683"/>
      <c r="P302" s="683"/>
      <c r="Q302" s="683"/>
      <c r="R302" s="683"/>
      <c r="S302" s="683"/>
      <c r="T302" s="683"/>
      <c r="U302" s="683"/>
      <c r="V302" s="683"/>
      <c r="W302" s="683"/>
      <c r="X302" s="683"/>
      <c r="Y302" s="683"/>
      <c r="Z302" s="683"/>
      <c r="AA302" s="683"/>
      <c r="AB302" s="683"/>
      <c r="AC302" s="683"/>
      <c r="AD302" s="683"/>
      <c r="AE302" s="683"/>
      <c r="AF302" s="683"/>
      <c r="AG302" s="683"/>
      <c r="AH302" s="683"/>
      <c r="AI302" s="683"/>
      <c r="AJ302" s="683"/>
      <c r="AK302" s="683"/>
    </row>
    <row r="303" spans="9:37" s="235" customFormat="1" x14ac:dyDescent="0.25">
      <c r="I303" s="683"/>
      <c r="J303" s="683"/>
      <c r="K303" s="683"/>
      <c r="L303" s="683"/>
      <c r="M303" s="684"/>
      <c r="N303" s="684"/>
      <c r="O303" s="683"/>
      <c r="P303" s="683"/>
      <c r="Q303" s="683"/>
      <c r="R303" s="683"/>
      <c r="S303" s="683"/>
      <c r="T303" s="683"/>
      <c r="U303" s="683"/>
      <c r="V303" s="683"/>
      <c r="W303" s="683"/>
      <c r="X303" s="683"/>
      <c r="Y303" s="683"/>
      <c r="Z303" s="683"/>
      <c r="AA303" s="683"/>
      <c r="AB303" s="683"/>
      <c r="AC303" s="683"/>
      <c r="AD303" s="683"/>
      <c r="AE303" s="683"/>
      <c r="AF303" s="683"/>
      <c r="AG303" s="683"/>
      <c r="AH303" s="683"/>
      <c r="AI303" s="683"/>
      <c r="AJ303" s="683"/>
      <c r="AK303" s="683"/>
    </row>
    <row r="304" spans="9:37" s="235" customFormat="1" x14ac:dyDescent="0.25">
      <c r="I304" s="683"/>
      <c r="J304" s="683"/>
      <c r="K304" s="683"/>
      <c r="L304" s="683"/>
      <c r="M304" s="684"/>
      <c r="N304" s="684"/>
      <c r="O304" s="683"/>
      <c r="P304" s="683"/>
      <c r="Q304" s="683"/>
      <c r="R304" s="683"/>
      <c r="S304" s="683"/>
      <c r="T304" s="683"/>
      <c r="U304" s="683"/>
      <c r="V304" s="683"/>
      <c r="W304" s="683"/>
      <c r="X304" s="683"/>
      <c r="Y304" s="683"/>
      <c r="Z304" s="683"/>
      <c r="AA304" s="683"/>
      <c r="AB304" s="683"/>
      <c r="AC304" s="683"/>
      <c r="AD304" s="683"/>
      <c r="AE304" s="683"/>
      <c r="AF304" s="683"/>
      <c r="AG304" s="683"/>
      <c r="AH304" s="683"/>
      <c r="AI304" s="683"/>
      <c r="AJ304" s="683"/>
      <c r="AK304" s="683"/>
    </row>
    <row r="305" spans="9:37" s="235" customFormat="1" x14ac:dyDescent="0.25">
      <c r="I305" s="683"/>
      <c r="J305" s="683"/>
      <c r="K305" s="683"/>
      <c r="L305" s="683"/>
      <c r="M305" s="684"/>
      <c r="N305" s="684"/>
      <c r="O305" s="683"/>
      <c r="P305" s="683"/>
      <c r="Q305" s="683"/>
      <c r="R305" s="683"/>
      <c r="S305" s="683"/>
      <c r="T305" s="683"/>
      <c r="U305" s="683"/>
      <c r="V305" s="683"/>
      <c r="W305" s="683"/>
      <c r="X305" s="683"/>
      <c r="Y305" s="683"/>
      <c r="Z305" s="683"/>
      <c r="AA305" s="683"/>
      <c r="AB305" s="683"/>
      <c r="AC305" s="683"/>
      <c r="AD305" s="683"/>
      <c r="AE305" s="683"/>
      <c r="AF305" s="683"/>
      <c r="AG305" s="683"/>
      <c r="AH305" s="683"/>
      <c r="AI305" s="683"/>
      <c r="AJ305" s="683"/>
      <c r="AK305" s="683"/>
    </row>
  </sheetData>
  <sheetProtection algorithmName="SHA-512" hashValue="zmMhzcM0DUqpu+ji5LD2C0evrpPCHBR+VGEXewBBGyWuybf76hqOftNQ9pV4y8FERn9N04wZTtTfl/PGxbxqTA==" saltValue="LWpHARyPtAZYTGu/vrw6NQ==" spinCount="100000" sheet="1" autoFilter="0"/>
  <mergeCells count="19">
    <mergeCell ref="B2:B4"/>
    <mergeCell ref="B11:D12"/>
    <mergeCell ref="F11:F12"/>
    <mergeCell ref="B13:D13"/>
    <mergeCell ref="C14:E14"/>
    <mergeCell ref="B16:C16"/>
    <mergeCell ref="B30:H30"/>
    <mergeCell ref="E22:G22"/>
    <mergeCell ref="E23:G25"/>
    <mergeCell ref="B18:C18"/>
    <mergeCell ref="B19:C19"/>
    <mergeCell ref="B20:C20"/>
    <mergeCell ref="B21:C21"/>
    <mergeCell ref="B22:C22"/>
    <mergeCell ref="B23:C23"/>
    <mergeCell ref="B24:C24"/>
    <mergeCell ref="B25:C25"/>
    <mergeCell ref="E26:G26"/>
    <mergeCell ref="B17:C17"/>
  </mergeCells>
  <hyperlinks>
    <hyperlink ref="B2" r:id="rId1" display="mailto:schoolfinanceteam@derby.gov.uk" xr:uid="{031B978A-5A88-4F63-8D34-DEE0CF65801F}"/>
  </hyperlinks>
  <pageMargins left="0.7" right="0.7" top="0.75" bottom="0.75" header="0.3" footer="0.3"/>
  <pageSetup paperSize="9" scale="53"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93C3-4596-458A-B08A-5EE3417691DD}">
  <sheetPr codeName="Sheet8"/>
  <dimension ref="A1:L18"/>
  <sheetViews>
    <sheetView workbookViewId="0">
      <selection activeCell="L9" sqref="L9"/>
    </sheetView>
  </sheetViews>
  <sheetFormatPr defaultRowHeight="12.5" x14ac:dyDescent="0.25"/>
  <cols>
    <col min="1" max="1" width="11.81640625" customWidth="1"/>
    <col min="2" max="2" width="24" bestFit="1" customWidth="1"/>
    <col min="3" max="3" width="10.6328125" customWidth="1"/>
    <col min="4" max="4" width="11.1796875" customWidth="1"/>
    <col min="7" max="7" width="15.54296875" bestFit="1" customWidth="1"/>
    <col min="8" max="8" width="23" customWidth="1"/>
    <col min="9" max="9" width="11.81640625" bestFit="1" customWidth="1"/>
    <col min="10" max="10" width="16.81640625" customWidth="1"/>
    <col min="11" max="11" width="15.54296875" bestFit="1" customWidth="1"/>
  </cols>
  <sheetData>
    <row r="1" spans="1:12" ht="15.5" x14ac:dyDescent="0.35">
      <c r="A1" s="497" t="s">
        <v>1349</v>
      </c>
    </row>
    <row r="3" spans="1:12" ht="13" thickBot="1" x14ac:dyDescent="0.3"/>
    <row r="4" spans="1:12" ht="13.5" thickBot="1" x14ac:dyDescent="0.35">
      <c r="A4" s="501"/>
      <c r="B4" s="501"/>
      <c r="C4" s="794" t="s">
        <v>1309</v>
      </c>
      <c r="D4" s="795"/>
      <c r="E4" s="795"/>
      <c r="F4" s="796"/>
      <c r="G4" s="501"/>
      <c r="H4" s="501"/>
      <c r="I4" s="501"/>
      <c r="J4" s="501"/>
      <c r="K4" s="501"/>
    </row>
    <row r="5" spans="1:12" ht="13.5" thickBot="1" x14ac:dyDescent="0.35">
      <c r="A5" s="502"/>
      <c r="B5" s="502"/>
      <c r="C5" s="792" t="s">
        <v>1114</v>
      </c>
      <c r="D5" s="793"/>
      <c r="E5" s="792" t="s">
        <v>1115</v>
      </c>
      <c r="F5" s="793"/>
      <c r="G5" s="503"/>
      <c r="H5" s="504"/>
      <c r="I5" s="504"/>
      <c r="J5" s="503"/>
      <c r="K5" s="503"/>
    </row>
    <row r="6" spans="1:12" ht="80.5" customHeight="1" thickBot="1" x14ac:dyDescent="0.35">
      <c r="A6" s="421" t="s">
        <v>268</v>
      </c>
      <c r="B6" s="421" t="s">
        <v>1</v>
      </c>
      <c r="C6" s="505" t="s">
        <v>1112</v>
      </c>
      <c r="D6" s="506" t="s">
        <v>1113</v>
      </c>
      <c r="E6" s="505" t="s">
        <v>1116</v>
      </c>
      <c r="F6" s="506" t="s">
        <v>1117</v>
      </c>
      <c r="G6" s="507" t="s">
        <v>1118</v>
      </c>
      <c r="H6" s="508" t="s">
        <v>1404</v>
      </c>
      <c r="I6" s="506" t="s">
        <v>1119</v>
      </c>
      <c r="J6" s="509" t="s">
        <v>1312</v>
      </c>
      <c r="K6" s="506" t="s">
        <v>1311</v>
      </c>
    </row>
    <row r="7" spans="1:12" x14ac:dyDescent="0.25">
      <c r="A7" s="427">
        <v>147491</v>
      </c>
      <c r="B7" s="427" t="s">
        <v>263</v>
      </c>
      <c r="C7" s="428">
        <f>'High Needs'!G30</f>
        <v>88</v>
      </c>
      <c r="D7" s="429">
        <f>'High Needs'!I30</f>
        <v>89</v>
      </c>
      <c r="E7" s="428">
        <f>'High Needs'!J30</f>
        <v>11</v>
      </c>
      <c r="F7" s="429">
        <f>'High Needs'!K30</f>
        <v>19</v>
      </c>
      <c r="G7" s="486">
        <f t="shared" ref="G7:G15" si="0">((C7/12*5)+(D7/12*7)+(E7/12*4)+(F7/12*8))*10000</f>
        <v>1049166.6666666667</v>
      </c>
      <c r="H7" s="488">
        <f>'High Needs'!V30</f>
        <v>484907.72691919195</v>
      </c>
      <c r="I7" s="488"/>
      <c r="J7" s="498" t="s">
        <v>1310</v>
      </c>
      <c r="K7" s="535">
        <f t="shared" ref="K7:K13" si="1">SUM(G7:J7)</f>
        <v>1534074.3935858586</v>
      </c>
    </row>
    <row r="8" spans="1:12" x14ac:dyDescent="0.25">
      <c r="A8" s="416">
        <v>147132</v>
      </c>
      <c r="B8" s="416" t="s">
        <v>1100</v>
      </c>
      <c r="C8" s="423">
        <f>'High Needs'!G31</f>
        <v>125</v>
      </c>
      <c r="D8" s="424">
        <f>'High Needs'!I31</f>
        <v>115</v>
      </c>
      <c r="E8" s="423">
        <f>'High Needs'!J31</f>
        <v>45</v>
      </c>
      <c r="F8" s="424">
        <f>'High Needs'!K31</f>
        <v>60</v>
      </c>
      <c r="G8" s="489">
        <f t="shared" si="0"/>
        <v>1741666.6666666667</v>
      </c>
      <c r="H8" s="491">
        <f>'High Needs'!V31</f>
        <v>773773.78307888051</v>
      </c>
      <c r="I8" s="491"/>
      <c r="J8" s="498" t="s">
        <v>1310</v>
      </c>
      <c r="K8" s="534">
        <f t="shared" si="1"/>
        <v>2515440.449745547</v>
      </c>
    </row>
    <row r="9" spans="1:12" x14ac:dyDescent="0.25">
      <c r="A9" s="416">
        <v>147137</v>
      </c>
      <c r="B9" s="416" t="s">
        <v>1101</v>
      </c>
      <c r="C9" s="423">
        <f>'High Needs'!G33</f>
        <v>180</v>
      </c>
      <c r="D9" s="424">
        <f>'High Needs'!I33</f>
        <v>190</v>
      </c>
      <c r="E9" s="423">
        <v>0</v>
      </c>
      <c r="F9" s="424">
        <v>0</v>
      </c>
      <c r="G9" s="489">
        <f t="shared" si="0"/>
        <v>1858333.3333333335</v>
      </c>
      <c r="H9" s="491">
        <f>'High Needs'!V33</f>
        <v>815170.40541561728</v>
      </c>
      <c r="I9" s="491"/>
      <c r="J9" s="498" t="s">
        <v>1310</v>
      </c>
      <c r="K9" s="534">
        <f t="shared" si="1"/>
        <v>2673503.7387489509</v>
      </c>
    </row>
    <row r="10" spans="1:12" x14ac:dyDescent="0.25">
      <c r="A10" s="416">
        <v>147558</v>
      </c>
      <c r="B10" s="416" t="s">
        <v>1102</v>
      </c>
      <c r="C10" s="423">
        <f>'High Needs'!G34</f>
        <v>160</v>
      </c>
      <c r="D10" s="424">
        <f>'High Needs'!I34</f>
        <v>145</v>
      </c>
      <c r="E10" s="423">
        <v>0</v>
      </c>
      <c r="F10" s="424">
        <v>0</v>
      </c>
      <c r="G10" s="489">
        <f t="shared" si="0"/>
        <v>1512500</v>
      </c>
      <c r="H10" s="491">
        <f>'High Needs'!V34</f>
        <v>643354.7321138212</v>
      </c>
      <c r="I10" s="491"/>
      <c r="J10" s="498" t="s">
        <v>1310</v>
      </c>
      <c r="K10" s="534">
        <f t="shared" si="1"/>
        <v>2155854.7321138214</v>
      </c>
    </row>
    <row r="11" spans="1:12" x14ac:dyDescent="0.25">
      <c r="A11" s="416">
        <v>147143</v>
      </c>
      <c r="B11" s="416" t="s">
        <v>1103</v>
      </c>
      <c r="C11" s="423">
        <f>'High Needs'!G35</f>
        <v>198</v>
      </c>
      <c r="D11" s="424">
        <f>'High Needs'!I35</f>
        <v>190</v>
      </c>
      <c r="E11" s="423">
        <f>'High Needs'!J35</f>
        <v>50</v>
      </c>
      <c r="F11" s="424">
        <f>'High Needs'!K35</f>
        <v>58</v>
      </c>
      <c r="G11" s="489">
        <f t="shared" si="0"/>
        <v>2486666.6666666665</v>
      </c>
      <c r="H11" s="491">
        <f>'High Needs'!V35</f>
        <v>1103749.3928286855</v>
      </c>
      <c r="I11" s="491">
        <f>'High Needs'!X35</f>
        <v>94219</v>
      </c>
      <c r="J11" s="498" t="s">
        <v>1310</v>
      </c>
      <c r="K11" s="534">
        <f t="shared" si="1"/>
        <v>3684635.0594953522</v>
      </c>
    </row>
    <row r="12" spans="1:12" x14ac:dyDescent="0.25">
      <c r="A12" s="416">
        <v>135345</v>
      </c>
      <c r="B12" s="416" t="s">
        <v>266</v>
      </c>
      <c r="C12" s="423">
        <f>'High Needs'!G36</f>
        <v>140</v>
      </c>
      <c r="D12" s="424">
        <f>'High Needs'!I36</f>
        <v>140</v>
      </c>
      <c r="E12" s="423">
        <f>'High Needs'!J36</f>
        <v>40</v>
      </c>
      <c r="F12" s="424">
        <f>'High Needs'!K36</f>
        <v>40</v>
      </c>
      <c r="G12" s="489">
        <f t="shared" ref="G12" si="2">((C12/12*5)+(D12/12*7)+(E12/12*4)+(F12/12*8))*10000</f>
        <v>1800000</v>
      </c>
      <c r="H12" s="491">
        <f>'High Needs'!V36</f>
        <v>741164.01702127664</v>
      </c>
      <c r="I12" s="491"/>
      <c r="J12" s="498" t="s">
        <v>1310</v>
      </c>
      <c r="K12" s="534">
        <f t="shared" si="1"/>
        <v>2541164.0170212765</v>
      </c>
    </row>
    <row r="13" spans="1:12" x14ac:dyDescent="0.25">
      <c r="A13" s="416">
        <v>151932</v>
      </c>
      <c r="B13" s="416" t="s">
        <v>1370</v>
      </c>
      <c r="C13" s="423">
        <f>'High Needs'!G37</f>
        <v>90</v>
      </c>
      <c r="D13" s="424">
        <f>'High Needs'!I37</f>
        <v>90</v>
      </c>
      <c r="E13" s="423">
        <v>0</v>
      </c>
      <c r="F13" s="424">
        <v>0</v>
      </c>
      <c r="G13" s="489">
        <f t="shared" ref="G13" si="3">((C13/12*5)+(D13/12*7)+(E13/12*4)+(F13/12*8))*10000</f>
        <v>900000</v>
      </c>
      <c r="H13" s="491">
        <f>'High Needs'!V37</f>
        <v>364320</v>
      </c>
      <c r="I13" s="491"/>
      <c r="J13" s="498" t="s">
        <v>1310</v>
      </c>
      <c r="K13" s="534">
        <f t="shared" si="1"/>
        <v>1264320</v>
      </c>
    </row>
    <row r="14" spans="1:12" x14ac:dyDescent="0.25">
      <c r="A14" s="485"/>
      <c r="B14" s="485"/>
      <c r="C14" s="520"/>
      <c r="D14" s="521"/>
      <c r="E14" s="520"/>
      <c r="F14" s="519"/>
      <c r="G14" s="492"/>
      <c r="H14" s="493"/>
      <c r="I14" s="493"/>
      <c r="J14" s="499"/>
      <c r="K14" s="533"/>
    </row>
    <row r="15" spans="1:12" x14ac:dyDescent="0.25">
      <c r="A15" s="416">
        <v>136071</v>
      </c>
      <c r="B15" s="416" t="s">
        <v>155</v>
      </c>
      <c r="C15" s="428">
        <f>'High Needs'!G38</f>
        <v>100</v>
      </c>
      <c r="D15" s="429">
        <f>+C15</f>
        <v>100</v>
      </c>
      <c r="E15" s="428">
        <v>0</v>
      </c>
      <c r="F15" s="424">
        <v>0</v>
      </c>
      <c r="G15" s="489">
        <f t="shared" si="0"/>
        <v>1000000</v>
      </c>
      <c r="H15" s="491">
        <f>'High Needs'!V38</f>
        <v>446231.00000000006</v>
      </c>
      <c r="I15" s="491"/>
      <c r="J15" s="498" t="s">
        <v>1310</v>
      </c>
      <c r="K15" s="532">
        <f>SUM(G15:J15)</f>
        <v>1446231</v>
      </c>
      <c r="L15" s="359"/>
    </row>
    <row r="16" spans="1:12" ht="13" thickBot="1" x14ac:dyDescent="0.3">
      <c r="A16" s="525">
        <v>138277</v>
      </c>
      <c r="B16" s="526" t="s">
        <v>1107</v>
      </c>
      <c r="C16" s="425"/>
      <c r="D16" s="522"/>
      <c r="E16" s="524">
        <v>0</v>
      </c>
      <c r="F16" s="426">
        <v>0</v>
      </c>
      <c r="G16" s="527"/>
      <c r="H16" s="528">
        <f>'High Needs'!V39</f>
        <v>235181.44</v>
      </c>
      <c r="I16" s="529"/>
      <c r="J16" s="528"/>
      <c r="K16" s="531">
        <f>SUM(G16:J16)</f>
        <v>235181.44</v>
      </c>
    </row>
    <row r="17" spans="1:11" ht="13" thickBot="1" x14ac:dyDescent="0.3">
      <c r="D17" s="523"/>
      <c r="E17" s="523"/>
      <c r="G17" s="494"/>
      <c r="H17" s="494"/>
      <c r="I17" s="530"/>
      <c r="J17" s="494"/>
      <c r="K17" s="494"/>
    </row>
    <row r="18" spans="1:11" ht="13.5" thickBot="1" x14ac:dyDescent="0.35">
      <c r="A18" s="421" t="s">
        <v>1301</v>
      </c>
      <c r="B18" s="421" t="s">
        <v>195</v>
      </c>
      <c r="C18" s="422">
        <f t="shared" ref="C18:K18" si="4">SUM(C7:C17)</f>
        <v>1081</v>
      </c>
      <c r="D18" s="422">
        <f t="shared" si="4"/>
        <v>1059</v>
      </c>
      <c r="E18" s="422">
        <f t="shared" si="4"/>
        <v>146</v>
      </c>
      <c r="F18" s="422">
        <f t="shared" si="4"/>
        <v>177</v>
      </c>
      <c r="G18" s="495">
        <f>SUM(G7:G17)</f>
        <v>12348333.333333334</v>
      </c>
      <c r="H18" s="495">
        <f>SUM(H7:H17)</f>
        <v>5607852.4973774739</v>
      </c>
      <c r="I18" s="496">
        <f t="shared" si="4"/>
        <v>94219</v>
      </c>
      <c r="J18" s="496"/>
      <c r="K18" s="496">
        <f t="shared" si="4"/>
        <v>18050404.83071081</v>
      </c>
    </row>
  </sheetData>
  <sheetProtection algorithmName="SHA-512" hashValue="95Hs7nqmha1CyWNp5WknNxaBNTccnsKGvwftjekayTCCRI/xaMJze9GcPPwWSiN1V0PytkiAcEAlSiZIakJxuw==" saltValue="bHi2LqyrdS7W2Uy1OAMH2A==" spinCount="100000" sheet="1" objects="1" scenarios="1"/>
  <mergeCells count="3">
    <mergeCell ref="C5:D5"/>
    <mergeCell ref="E5:F5"/>
    <mergeCell ref="C4:F4"/>
  </mergeCells>
  <pageMargins left="0.7" right="0.7" top="0.75" bottom="0.75" header="0.3" footer="0.3"/>
  <pageSetup paperSize="9" scale="94" orientation="landscape" r:id="rId1"/>
  <colBreaks count="1" manualBreakCount="1">
    <brk id="11" max="1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2DDA-0935-480A-B2E3-B790EE0044EB}">
  <sheetPr codeName="Sheet13"/>
  <dimension ref="A1:G20"/>
  <sheetViews>
    <sheetView topLeftCell="A4" workbookViewId="0">
      <selection activeCell="B6" sqref="B6"/>
    </sheetView>
  </sheetViews>
  <sheetFormatPr defaultRowHeight="12.5" x14ac:dyDescent="0.25"/>
  <cols>
    <col min="1" max="1" width="11.453125" customWidth="1"/>
    <col min="2" max="2" width="37.1796875" bestFit="1" customWidth="1"/>
    <col min="4" max="4" width="11.1796875" customWidth="1"/>
    <col min="5" max="5" width="15.1796875" customWidth="1"/>
    <col min="6" max="6" width="22.36328125" customWidth="1"/>
    <col min="7" max="7" width="16.453125" customWidth="1"/>
  </cols>
  <sheetData>
    <row r="1" spans="1:7" ht="15.5" x14ac:dyDescent="0.35">
      <c r="A1" s="497" t="s">
        <v>1356</v>
      </c>
    </row>
    <row r="3" spans="1:7" ht="13" thickBot="1" x14ac:dyDescent="0.3"/>
    <row r="4" spans="1:7" ht="29.5" customHeight="1" thickBot="1" x14ac:dyDescent="0.35">
      <c r="C4" s="797" t="s">
        <v>1309</v>
      </c>
      <c r="D4" s="798"/>
    </row>
    <row r="5" spans="1:7" ht="13.5" thickBot="1" x14ac:dyDescent="0.35">
      <c r="A5" s="502"/>
      <c r="B5" s="502"/>
      <c r="C5" s="792" t="s">
        <v>1114</v>
      </c>
      <c r="D5" s="793"/>
      <c r="E5" s="503"/>
      <c r="F5" s="501"/>
      <c r="G5" s="501"/>
    </row>
    <row r="6" spans="1:7" ht="69" customHeight="1" thickBot="1" x14ac:dyDescent="0.35">
      <c r="A6" s="421" t="s">
        <v>268</v>
      </c>
      <c r="B6" s="421" t="s">
        <v>1</v>
      </c>
      <c r="C6" s="505" t="s">
        <v>1112</v>
      </c>
      <c r="D6" s="506" t="s">
        <v>1113</v>
      </c>
      <c r="E6" s="507" t="s">
        <v>1120</v>
      </c>
      <c r="F6" s="508" t="s">
        <v>1405</v>
      </c>
      <c r="G6" s="506" t="s">
        <v>1313</v>
      </c>
    </row>
    <row r="7" spans="1:7" x14ac:dyDescent="0.25">
      <c r="A7" s="427">
        <v>137911</v>
      </c>
      <c r="B7" s="427" t="s">
        <v>148</v>
      </c>
      <c r="C7" s="428">
        <f>'High Needs'!G9</f>
        <v>20</v>
      </c>
      <c r="D7" s="429">
        <f>'High Needs'!I9</f>
        <v>20</v>
      </c>
      <c r="E7" s="515">
        <f t="shared" ref="E7:E18" si="0">((C7/12*5)+(D7/12*7))*6000</f>
        <v>120000</v>
      </c>
      <c r="F7" s="516">
        <f>((C7/12*5)+(D7/12*7))*6000</f>
        <v>120000</v>
      </c>
      <c r="G7" s="487">
        <f>SUM(E7:F7)</f>
        <v>240000</v>
      </c>
    </row>
    <row r="8" spans="1:7" x14ac:dyDescent="0.25">
      <c r="A8" s="427">
        <v>145759</v>
      </c>
      <c r="B8" s="427" t="s">
        <v>111</v>
      </c>
      <c r="C8" s="428">
        <f>'High Needs'!G10</f>
        <v>12</v>
      </c>
      <c r="D8" s="429">
        <f>'High Needs'!I10</f>
        <v>12</v>
      </c>
      <c r="E8" s="486">
        <f t="shared" si="0"/>
        <v>72000</v>
      </c>
      <c r="F8" s="500">
        <f>((C8/12*5)+(D8/12*7))*8000</f>
        <v>96000</v>
      </c>
      <c r="G8" s="490">
        <f t="shared" ref="G8:G20" si="1">SUM(E8:F8)</f>
        <v>168000</v>
      </c>
    </row>
    <row r="9" spans="1:7" x14ac:dyDescent="0.25">
      <c r="A9" s="427">
        <v>145806</v>
      </c>
      <c r="B9" s="427" t="s">
        <v>120</v>
      </c>
      <c r="C9" s="428">
        <f>'High Needs'!G11</f>
        <v>8</v>
      </c>
      <c r="D9" s="429">
        <f>'High Needs'!I11</f>
        <v>16</v>
      </c>
      <c r="E9" s="486">
        <f t="shared" si="0"/>
        <v>75999.999999999985</v>
      </c>
      <c r="F9" s="500">
        <f>((C9/12*5)+(D9/12*7))*8000</f>
        <v>101333.33333333331</v>
      </c>
      <c r="G9" s="490">
        <f t="shared" si="1"/>
        <v>177333.33333333331</v>
      </c>
    </row>
    <row r="10" spans="1:7" x14ac:dyDescent="0.25">
      <c r="A10" s="427">
        <v>112951</v>
      </c>
      <c r="B10" s="427" t="s">
        <v>1093</v>
      </c>
      <c r="C10" s="428">
        <f>'High Needs'!G12</f>
        <v>45</v>
      </c>
      <c r="D10" s="429">
        <f>'High Needs'!I12</f>
        <v>50</v>
      </c>
      <c r="E10" s="486">
        <f t="shared" si="0"/>
        <v>287500</v>
      </c>
      <c r="F10" s="500">
        <f>((C10/12*5)+(D10/12*7))*9000</f>
        <v>431250.00000000006</v>
      </c>
      <c r="G10" s="490">
        <f t="shared" si="1"/>
        <v>718750</v>
      </c>
    </row>
    <row r="11" spans="1:7" x14ac:dyDescent="0.25">
      <c r="A11" s="427">
        <v>146847</v>
      </c>
      <c r="B11" s="427" t="s">
        <v>1407</v>
      </c>
      <c r="C11" s="428">
        <f>'High Needs'!G13</f>
        <v>16</v>
      </c>
      <c r="D11" s="429">
        <f>'High Needs'!I13</f>
        <v>18</v>
      </c>
      <c r="E11" s="486">
        <f t="shared" si="0"/>
        <v>102999.99999999999</v>
      </c>
      <c r="F11" s="500">
        <f>((C11/12*5)+(D11/12*7))*8000</f>
        <v>137333.33333333331</v>
      </c>
      <c r="G11" s="490">
        <f t="shared" si="1"/>
        <v>240333.33333333331</v>
      </c>
    </row>
    <row r="12" spans="1:7" x14ac:dyDescent="0.25">
      <c r="A12" s="427">
        <v>148384</v>
      </c>
      <c r="B12" s="427" t="s">
        <v>1094</v>
      </c>
      <c r="C12" s="428">
        <f>'High Needs'!G14</f>
        <v>38</v>
      </c>
      <c r="D12" s="429">
        <f>'High Needs'!I14</f>
        <v>49</v>
      </c>
      <c r="E12" s="486">
        <f t="shared" si="0"/>
        <v>266500</v>
      </c>
      <c r="F12" s="500">
        <f>((C12/12*5)+(D12/12*7))*8000</f>
        <v>355333.33333333331</v>
      </c>
      <c r="G12" s="490">
        <f t="shared" si="1"/>
        <v>621833.33333333326</v>
      </c>
    </row>
    <row r="13" spans="1:7" x14ac:dyDescent="0.25">
      <c r="A13" s="427">
        <v>145982</v>
      </c>
      <c r="B13" s="427" t="s">
        <v>105</v>
      </c>
      <c r="C13" s="428">
        <f>'High Needs'!G15</f>
        <v>12</v>
      </c>
      <c r="D13" s="429">
        <f>'High Needs'!I15</f>
        <v>8</v>
      </c>
      <c r="E13" s="486">
        <f t="shared" si="0"/>
        <v>58000</v>
      </c>
      <c r="F13" s="500">
        <f>((C13/12*5)+(D13/12*7))*8000</f>
        <v>77333.333333333328</v>
      </c>
      <c r="G13" s="490">
        <f t="shared" si="1"/>
        <v>135333.33333333331</v>
      </c>
    </row>
    <row r="14" spans="1:7" x14ac:dyDescent="0.25">
      <c r="A14" s="427">
        <v>146080</v>
      </c>
      <c r="B14" s="427" t="s">
        <v>104</v>
      </c>
      <c r="C14" s="428">
        <f>'High Needs'!G16</f>
        <v>12</v>
      </c>
      <c r="D14" s="429">
        <f>'High Needs'!I16</f>
        <v>12</v>
      </c>
      <c r="E14" s="486">
        <f t="shared" si="0"/>
        <v>72000</v>
      </c>
      <c r="F14" s="500">
        <f>((C14/12*5)+(D14/12*7))*8000</f>
        <v>96000</v>
      </c>
      <c r="G14" s="490">
        <f t="shared" si="1"/>
        <v>168000</v>
      </c>
    </row>
    <row r="15" spans="1:7" x14ac:dyDescent="0.25">
      <c r="A15" s="427">
        <v>145855</v>
      </c>
      <c r="B15" s="427" t="s">
        <v>1095</v>
      </c>
      <c r="C15" s="428">
        <f>'High Needs'!G17</f>
        <v>10</v>
      </c>
      <c r="D15" s="429">
        <f>'High Needs'!I17</f>
        <v>12</v>
      </c>
      <c r="E15" s="486">
        <f t="shared" si="0"/>
        <v>67000</v>
      </c>
      <c r="F15" s="500">
        <f>((C15/12*5)+(D15/12*7))*6000</f>
        <v>67000</v>
      </c>
      <c r="G15" s="490">
        <f t="shared" si="1"/>
        <v>134000</v>
      </c>
    </row>
    <row r="16" spans="1:7" x14ac:dyDescent="0.25">
      <c r="A16" s="427">
        <v>138622</v>
      </c>
      <c r="B16" s="427" t="s">
        <v>579</v>
      </c>
      <c r="C16" s="428">
        <f>'High Needs'!G18</f>
        <v>12</v>
      </c>
      <c r="D16" s="429">
        <f>'High Needs'!I18</f>
        <v>0</v>
      </c>
      <c r="E16" s="486">
        <f t="shared" si="0"/>
        <v>30000</v>
      </c>
      <c r="F16" s="500">
        <f>((C16/12*5)+(D16/12*7))*10000</f>
        <v>50000</v>
      </c>
      <c r="G16" s="490">
        <f t="shared" si="1"/>
        <v>80000</v>
      </c>
    </row>
    <row r="17" spans="1:7" x14ac:dyDescent="0.25">
      <c r="A17" s="427">
        <v>146839</v>
      </c>
      <c r="B17" s="427" t="s">
        <v>117</v>
      </c>
      <c r="C17" s="428">
        <f>'High Needs'!G19</f>
        <v>60</v>
      </c>
      <c r="D17" s="429">
        <f>'High Needs'!I19</f>
        <v>65</v>
      </c>
      <c r="E17" s="486">
        <f t="shared" si="0"/>
        <v>377500</v>
      </c>
      <c r="F17" s="500">
        <f>((C17/12*5)+(D17/12*7))*8000</f>
        <v>503333.33333333337</v>
      </c>
      <c r="G17" s="490">
        <f t="shared" si="1"/>
        <v>880833.33333333337</v>
      </c>
    </row>
    <row r="18" spans="1:7" x14ac:dyDescent="0.25">
      <c r="A18" s="427">
        <v>145760</v>
      </c>
      <c r="B18" s="427" t="s">
        <v>133</v>
      </c>
      <c r="C18" s="428">
        <f>'High Needs'!G21</f>
        <v>26</v>
      </c>
      <c r="D18" s="429">
        <f>'High Needs'!I21</f>
        <v>26</v>
      </c>
      <c r="E18" s="486">
        <f t="shared" si="0"/>
        <v>156000</v>
      </c>
      <c r="F18" s="500">
        <f>((C18/12*5)+(D18/12*7))*8000</f>
        <v>208000</v>
      </c>
      <c r="G18" s="490">
        <f t="shared" si="1"/>
        <v>364000</v>
      </c>
    </row>
    <row r="19" spans="1:7" ht="13" thickBot="1" x14ac:dyDescent="0.3">
      <c r="E19" s="494"/>
    </row>
    <row r="20" spans="1:7" ht="13" thickBot="1" x14ac:dyDescent="0.3">
      <c r="A20" s="510" t="s">
        <v>1153</v>
      </c>
      <c r="B20" s="511" t="s">
        <v>751</v>
      </c>
      <c r="C20" s="512">
        <f>SUM(C7:C19)</f>
        <v>271</v>
      </c>
      <c r="D20" s="512">
        <f>SUM(D7:D19)</f>
        <v>288</v>
      </c>
      <c r="E20" s="513">
        <f>SUM(E7:E19)</f>
        <v>1685500</v>
      </c>
      <c r="F20" s="513">
        <f>SUM(F7:F19)</f>
        <v>2242916.6666666665</v>
      </c>
      <c r="G20" s="514">
        <f t="shared" si="1"/>
        <v>3928416.6666666665</v>
      </c>
    </row>
  </sheetData>
  <sheetProtection algorithmName="SHA-512" hashValue="Nt8oBEidEVmLXWlsr0LmXrKwsi2e2o2Ng6PMolxHKn6EKioWBNQCu5wE+ZcJWNp19kRaDnhUz3Ot/DDeyLjwdQ==" saltValue="Dq0AhRGqliwLsOaUu+i0XQ==" spinCount="100000" sheet="1" objects="1" scenarios="1"/>
  <mergeCells count="2">
    <mergeCell ref="C5:D5"/>
    <mergeCell ref="C4:D4"/>
  </mergeCells>
  <pageMargins left="0.7" right="0.7" top="0.75" bottom="0.75" header="0.3" footer="0.3"/>
  <pageSetup paperSize="9" scale="91" orientation="portrait" r:id="rId1"/>
  <ignoredErrors>
    <ignoredError sqref="F10"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6350-5D33-4381-8756-79C463DC150E}">
  <sheetPr codeName="Sheet22">
    <tabColor rgb="FF7030A0"/>
  </sheetPr>
  <dimension ref="A1:BK95"/>
  <sheetViews>
    <sheetView workbookViewId="0">
      <selection activeCell="L9" sqref="L9"/>
    </sheetView>
  </sheetViews>
  <sheetFormatPr defaultRowHeight="12.5" x14ac:dyDescent="0.25"/>
  <sheetData>
    <row r="1" spans="1:63" x14ac:dyDescent="0.25">
      <c r="A1" t="s">
        <v>1122</v>
      </c>
    </row>
    <row r="3" spans="1:63" x14ac:dyDescent="0.25">
      <c r="A3">
        <v>1</v>
      </c>
      <c r="B3">
        <v>2</v>
      </c>
      <c r="C3">
        <v>3</v>
      </c>
      <c r="D3">
        <v>4</v>
      </c>
      <c r="E3">
        <v>5</v>
      </c>
      <c r="F3">
        <v>6</v>
      </c>
      <c r="G3">
        <v>7</v>
      </c>
      <c r="H3">
        <v>8</v>
      </c>
      <c r="I3">
        <v>9</v>
      </c>
      <c r="J3">
        <v>10</v>
      </c>
      <c r="K3">
        <v>11</v>
      </c>
      <c r="L3">
        <v>12</v>
      </c>
      <c r="M3">
        <v>13</v>
      </c>
      <c r="N3">
        <v>14</v>
      </c>
      <c r="O3">
        <v>15</v>
      </c>
      <c r="P3">
        <v>16</v>
      </c>
      <c r="Q3">
        <v>17</v>
      </c>
      <c r="R3">
        <v>18</v>
      </c>
      <c r="S3">
        <v>19</v>
      </c>
      <c r="T3">
        <v>20</v>
      </c>
      <c r="U3">
        <v>21</v>
      </c>
      <c r="V3">
        <v>22</v>
      </c>
      <c r="W3">
        <v>23</v>
      </c>
      <c r="X3">
        <v>24</v>
      </c>
      <c r="Y3">
        <v>25</v>
      </c>
      <c r="Z3">
        <v>26</v>
      </c>
      <c r="AA3">
        <v>27</v>
      </c>
      <c r="AB3">
        <v>28</v>
      </c>
      <c r="AC3">
        <v>29</v>
      </c>
      <c r="AD3">
        <v>30</v>
      </c>
      <c r="AE3">
        <v>31</v>
      </c>
      <c r="AF3">
        <v>32</v>
      </c>
      <c r="AG3">
        <v>33</v>
      </c>
      <c r="AH3">
        <v>34</v>
      </c>
      <c r="AI3">
        <v>35</v>
      </c>
      <c r="AJ3">
        <v>36</v>
      </c>
      <c r="AK3">
        <v>37</v>
      </c>
      <c r="AL3">
        <v>38</v>
      </c>
      <c r="AM3">
        <v>39</v>
      </c>
      <c r="AN3">
        <v>40</v>
      </c>
      <c r="AO3">
        <v>41</v>
      </c>
      <c r="AP3">
        <v>42</v>
      </c>
      <c r="AQ3">
        <v>43</v>
      </c>
      <c r="AR3">
        <v>44</v>
      </c>
      <c r="AS3">
        <v>45</v>
      </c>
      <c r="AT3">
        <v>46</v>
      </c>
      <c r="AU3">
        <v>47</v>
      </c>
      <c r="AV3">
        <v>48</v>
      </c>
      <c r="AW3">
        <v>49</v>
      </c>
      <c r="AX3">
        <v>50</v>
      </c>
      <c r="AY3">
        <v>51</v>
      </c>
      <c r="AZ3">
        <v>52</v>
      </c>
      <c r="BA3">
        <v>53</v>
      </c>
      <c r="BB3">
        <v>54</v>
      </c>
      <c r="BC3">
        <v>55</v>
      </c>
      <c r="BD3">
        <v>56</v>
      </c>
      <c r="BE3">
        <v>57</v>
      </c>
      <c r="BF3">
        <v>58</v>
      </c>
      <c r="BG3">
        <v>59</v>
      </c>
      <c r="BH3">
        <v>60</v>
      </c>
      <c r="BI3">
        <v>61</v>
      </c>
      <c r="BJ3">
        <v>62</v>
      </c>
      <c r="BK3">
        <v>63</v>
      </c>
    </row>
    <row r="4" spans="1:63" ht="174" x14ac:dyDescent="0.25">
      <c r="A4" s="445" t="s">
        <v>268</v>
      </c>
      <c r="B4" s="442" t="s">
        <v>0</v>
      </c>
      <c r="C4" s="446" t="s">
        <v>1</v>
      </c>
      <c r="D4" s="446" t="s">
        <v>2</v>
      </c>
      <c r="E4" s="446" t="s">
        <v>3</v>
      </c>
      <c r="F4" s="446" t="s">
        <v>4</v>
      </c>
      <c r="G4" s="447" t="s">
        <v>5</v>
      </c>
      <c r="H4" s="447" t="s">
        <v>6</v>
      </c>
      <c r="I4" s="447" t="s">
        <v>7</v>
      </c>
      <c r="J4" s="447" t="s">
        <v>8</v>
      </c>
      <c r="K4" s="447" t="s">
        <v>9</v>
      </c>
      <c r="L4" s="447" t="s">
        <v>10</v>
      </c>
      <c r="M4" s="442" t="s">
        <v>11</v>
      </c>
      <c r="N4" s="442" t="s">
        <v>12</v>
      </c>
      <c r="O4" s="442" t="s">
        <v>13</v>
      </c>
      <c r="P4" s="442" t="s">
        <v>14</v>
      </c>
      <c r="Q4" s="442" t="s">
        <v>15</v>
      </c>
      <c r="R4" s="442" t="s">
        <v>16</v>
      </c>
      <c r="S4" s="442" t="s">
        <v>17</v>
      </c>
      <c r="T4" s="442" t="s">
        <v>18</v>
      </c>
      <c r="U4" s="442" t="s">
        <v>19</v>
      </c>
      <c r="V4" s="442" t="s">
        <v>20</v>
      </c>
      <c r="W4" s="442" t="s">
        <v>21</v>
      </c>
      <c r="X4" s="442" t="s">
        <v>22</v>
      </c>
      <c r="Y4" s="442" t="s">
        <v>23</v>
      </c>
      <c r="Z4" s="442" t="s">
        <v>24</v>
      </c>
      <c r="AA4" s="448" t="s">
        <v>25</v>
      </c>
      <c r="AB4" s="447" t="s">
        <v>26</v>
      </c>
      <c r="AC4" s="447" t="s">
        <v>27</v>
      </c>
      <c r="AD4" s="447" t="s">
        <v>28</v>
      </c>
      <c r="AE4" s="447" t="s">
        <v>29</v>
      </c>
      <c r="AF4" s="447" t="s">
        <v>30</v>
      </c>
      <c r="AG4" s="447" t="s">
        <v>31</v>
      </c>
      <c r="AH4" s="447" t="s">
        <v>32</v>
      </c>
      <c r="AI4" s="447" t="s">
        <v>33</v>
      </c>
      <c r="AJ4" s="447" t="s">
        <v>34</v>
      </c>
      <c r="AK4" s="447" t="s">
        <v>35</v>
      </c>
      <c r="AL4" s="447" t="s">
        <v>36</v>
      </c>
      <c r="AM4" s="447" t="s">
        <v>37</v>
      </c>
      <c r="AN4" s="447" t="s">
        <v>38</v>
      </c>
      <c r="AO4" s="447" t="s">
        <v>39</v>
      </c>
      <c r="AP4" s="447" t="s">
        <v>40</v>
      </c>
      <c r="AQ4" s="447" t="s">
        <v>41</v>
      </c>
      <c r="AR4" s="447" t="s">
        <v>42</v>
      </c>
      <c r="AS4" s="447" t="s">
        <v>43</v>
      </c>
      <c r="AT4" s="447" t="s">
        <v>44</v>
      </c>
      <c r="AU4" s="447" t="s">
        <v>45</v>
      </c>
      <c r="AV4" s="447" t="s">
        <v>46</v>
      </c>
      <c r="AW4" s="447" t="s">
        <v>47</v>
      </c>
      <c r="AX4" s="447" t="s">
        <v>48</v>
      </c>
      <c r="AY4" s="447" t="s">
        <v>49</v>
      </c>
      <c r="AZ4" s="447" t="s">
        <v>50</v>
      </c>
      <c r="BA4" s="447" t="s">
        <v>51</v>
      </c>
      <c r="BB4" s="449" t="s">
        <v>52</v>
      </c>
      <c r="BC4" s="447" t="s">
        <v>53</v>
      </c>
      <c r="BD4" s="447" t="s">
        <v>54</v>
      </c>
      <c r="BE4" s="447" t="s">
        <v>55</v>
      </c>
      <c r="BF4" s="447" t="s">
        <v>56</v>
      </c>
      <c r="BG4" s="447" t="s">
        <v>57</v>
      </c>
      <c r="BH4" s="447" t="s">
        <v>58</v>
      </c>
      <c r="BI4" s="447" t="s">
        <v>59</v>
      </c>
      <c r="BJ4" s="447" t="s">
        <v>58</v>
      </c>
      <c r="BK4" s="447" t="s">
        <v>59</v>
      </c>
    </row>
    <row r="5" spans="1:63" ht="43.5" x14ac:dyDescent="0.35">
      <c r="A5" s="436" t="s">
        <v>1153</v>
      </c>
      <c r="B5" s="459" t="s">
        <v>1153</v>
      </c>
      <c r="C5" s="450" t="s">
        <v>751</v>
      </c>
      <c r="D5" s="450"/>
      <c r="E5" s="450"/>
      <c r="F5" s="451"/>
      <c r="G5" s="451"/>
      <c r="H5" s="451"/>
      <c r="I5" s="451"/>
      <c r="J5" s="451"/>
      <c r="K5" s="451"/>
      <c r="L5" s="451"/>
      <c r="M5" s="443">
        <f>SUM(M6:M95)</f>
        <v>40628.25</v>
      </c>
      <c r="N5" s="443">
        <f t="shared" ref="N5:BB5" si="0">SUM(N6:N95)</f>
        <v>22996.75</v>
      </c>
      <c r="O5" s="443">
        <f t="shared" si="0"/>
        <v>3061.5</v>
      </c>
      <c r="P5" s="443">
        <f t="shared" si="0"/>
        <v>19935.25</v>
      </c>
      <c r="Q5" s="443">
        <f t="shared" si="0"/>
        <v>17631.5</v>
      </c>
      <c r="R5" s="443">
        <f t="shared" si="0"/>
        <v>10659.916666666666</v>
      </c>
      <c r="S5" s="443">
        <f t="shared" si="0"/>
        <v>6971.5833333333339</v>
      </c>
      <c r="T5" s="443">
        <f t="shared" si="0"/>
        <v>3493.083333333333</v>
      </c>
      <c r="U5" s="443">
        <f t="shared" si="0"/>
        <v>3539.5</v>
      </c>
      <c r="V5" s="443">
        <f t="shared" si="0"/>
        <v>3627.3333333333335</v>
      </c>
      <c r="W5" s="443">
        <f t="shared" si="0"/>
        <v>3524.5833333333335</v>
      </c>
      <c r="X5" s="443">
        <f t="shared" si="0"/>
        <v>3447</v>
      </c>
      <c r="Y5" s="443">
        <f t="shared" si="0"/>
        <v>7580.1577380952394</v>
      </c>
      <c r="Z5" s="443">
        <f t="shared" si="0"/>
        <v>8621.7492659395921</v>
      </c>
      <c r="AA5" s="443">
        <f t="shared" si="0"/>
        <v>8767.7492659395921</v>
      </c>
      <c r="AB5" s="443">
        <f t="shared" si="0"/>
        <v>6617.7341176470509</v>
      </c>
      <c r="AC5" s="443">
        <f t="shared" si="0"/>
        <v>7178.3152941176395</v>
      </c>
      <c r="AD5" s="443">
        <f t="shared" si="0"/>
        <v>9482.6022303379905</v>
      </c>
      <c r="AE5" s="443">
        <f t="shared" si="0"/>
        <v>2658.3546026896838</v>
      </c>
      <c r="AF5" s="443">
        <f t="shared" si="0"/>
        <v>3287.5180623377314</v>
      </c>
      <c r="AG5" s="443">
        <f t="shared" si="0"/>
        <v>1918.6931997594013</v>
      </c>
      <c r="AH5" s="443">
        <f t="shared" si="0"/>
        <v>2304.9042543859473</v>
      </c>
      <c r="AI5" s="443">
        <f t="shared" si="0"/>
        <v>1931.3375181201025</v>
      </c>
      <c r="AJ5" s="443">
        <f t="shared" si="0"/>
        <v>1413.3401323691137</v>
      </c>
      <c r="AK5" s="443">
        <f t="shared" si="0"/>
        <v>8005.0028705478771</v>
      </c>
      <c r="AL5" s="443">
        <f t="shared" si="0"/>
        <v>1989.8810212367157</v>
      </c>
      <c r="AM5" s="443">
        <f t="shared" si="0"/>
        <v>2128.8052093104284</v>
      </c>
      <c r="AN5" s="443">
        <f t="shared" si="0"/>
        <v>1362.7502868868237</v>
      </c>
      <c r="AO5" s="443">
        <f t="shared" si="0"/>
        <v>1626.6666670356542</v>
      </c>
      <c r="AP5" s="443">
        <f t="shared" si="0"/>
        <v>1455.3973219886748</v>
      </c>
      <c r="AQ5" s="443">
        <f t="shared" si="0"/>
        <v>1062.9966229937904</v>
      </c>
      <c r="AR5" s="443">
        <f t="shared" si="0"/>
        <v>5160.2048906076679</v>
      </c>
      <c r="AS5" s="443">
        <f t="shared" si="0"/>
        <v>828.3506445412637</v>
      </c>
      <c r="AT5" s="443">
        <f t="shared" si="0"/>
        <v>8163.9507529949169</v>
      </c>
      <c r="AU5" s="443">
        <f t="shared" si="0"/>
        <v>1481.250652508756</v>
      </c>
      <c r="AV5" s="443">
        <f t="shared" si="0"/>
        <v>1498.879217486983</v>
      </c>
      <c r="AW5" s="443">
        <f t="shared" si="0"/>
        <v>1584.0064322204639</v>
      </c>
      <c r="AX5" s="443">
        <f t="shared" si="0"/>
        <v>1567.756605384325</v>
      </c>
      <c r="AY5" s="443">
        <f t="shared" si="0"/>
        <v>1544.8502624728685</v>
      </c>
      <c r="AZ5" s="443">
        <f t="shared" si="0"/>
        <v>4337.5418265845874</v>
      </c>
      <c r="BA5" s="443">
        <f t="shared" si="0"/>
        <v>474.63239338447784</v>
      </c>
      <c r="BB5" s="443">
        <f t="shared" si="0"/>
        <v>120.30750619640145</v>
      </c>
      <c r="BC5" s="443"/>
      <c r="BD5" s="443"/>
      <c r="BE5" s="452"/>
      <c r="BF5" s="452"/>
      <c r="BG5" s="453"/>
      <c r="BH5" s="453">
        <v>74.275787965616047</v>
      </c>
      <c r="BI5" s="453">
        <v>15.724212034383953</v>
      </c>
      <c r="BJ5" s="453">
        <v>74.283261802575112</v>
      </c>
      <c r="BK5" s="453">
        <v>15.716738197424892</v>
      </c>
    </row>
    <row r="6" spans="1:63" ht="14.5" x14ac:dyDescent="0.35">
      <c r="A6" s="454">
        <v>131401</v>
      </c>
      <c r="B6" s="454">
        <v>8312001</v>
      </c>
      <c r="C6" s="455" t="s">
        <v>61</v>
      </c>
      <c r="D6" s="431" t="s">
        <v>265</v>
      </c>
      <c r="E6" s="456">
        <v>0</v>
      </c>
      <c r="F6" s="457">
        <v>1</v>
      </c>
      <c r="G6" s="444">
        <v>0</v>
      </c>
      <c r="H6" s="444">
        <v>0</v>
      </c>
      <c r="I6" s="444">
        <v>7</v>
      </c>
      <c r="J6" s="444">
        <v>0</v>
      </c>
      <c r="K6" s="444">
        <v>0</v>
      </c>
      <c r="L6" s="444">
        <v>0</v>
      </c>
      <c r="M6" s="444">
        <v>309</v>
      </c>
      <c r="N6" s="444">
        <v>309</v>
      </c>
      <c r="O6" s="444">
        <v>36</v>
      </c>
      <c r="P6" s="444">
        <v>273</v>
      </c>
      <c r="Q6" s="444">
        <v>0</v>
      </c>
      <c r="R6" s="444">
        <v>0</v>
      </c>
      <c r="S6" s="444">
        <v>0</v>
      </c>
      <c r="T6" s="444">
        <v>0</v>
      </c>
      <c r="U6" s="444">
        <v>0</v>
      </c>
      <c r="V6" s="444">
        <v>0</v>
      </c>
      <c r="W6" s="444">
        <v>0</v>
      </c>
      <c r="X6" s="444">
        <v>0</v>
      </c>
      <c r="Y6" s="444">
        <v>44.142857142857146</v>
      </c>
      <c r="Z6" s="444">
        <v>158</v>
      </c>
      <c r="AA6" s="444">
        <v>160</v>
      </c>
      <c r="AB6" s="444">
        <v>0</v>
      </c>
      <c r="AC6" s="444">
        <v>0</v>
      </c>
      <c r="AD6" s="444">
        <v>39.999999999999922</v>
      </c>
      <c r="AE6" s="444">
        <v>60.999999999999702</v>
      </c>
      <c r="AF6" s="444">
        <v>43.999999999999844</v>
      </c>
      <c r="AG6" s="444">
        <v>19.999999999999989</v>
      </c>
      <c r="AH6" s="444">
        <v>0.99999999999999789</v>
      </c>
      <c r="AI6" s="444">
        <v>73.999999999999943</v>
      </c>
      <c r="AJ6" s="444">
        <v>68.999999999999872</v>
      </c>
      <c r="AK6" s="444">
        <v>0</v>
      </c>
      <c r="AL6" s="444">
        <v>0</v>
      </c>
      <c r="AM6" s="444">
        <v>0</v>
      </c>
      <c r="AN6" s="444">
        <v>0</v>
      </c>
      <c r="AO6" s="444">
        <v>0</v>
      </c>
      <c r="AP6" s="444">
        <v>0</v>
      </c>
      <c r="AQ6" s="444">
        <v>0</v>
      </c>
      <c r="AR6" s="444">
        <v>14.71428571428571</v>
      </c>
      <c r="AS6" s="444">
        <v>0</v>
      </c>
      <c r="AT6" s="444">
        <v>119.16045921549807</v>
      </c>
      <c r="AU6" s="444">
        <v>0</v>
      </c>
      <c r="AV6" s="444">
        <v>0</v>
      </c>
      <c r="AW6" s="444">
        <v>0</v>
      </c>
      <c r="AX6" s="444">
        <v>0</v>
      </c>
      <c r="AY6" s="444">
        <v>0</v>
      </c>
      <c r="AZ6" s="444">
        <v>0</v>
      </c>
      <c r="BA6" s="444">
        <v>2.4599999999999742</v>
      </c>
      <c r="BB6" s="444">
        <v>0</v>
      </c>
      <c r="BC6" s="444">
        <v>0.496</v>
      </c>
      <c r="BD6" s="444">
        <v>0</v>
      </c>
      <c r="BE6" s="444">
        <v>0</v>
      </c>
      <c r="BF6" s="444">
        <v>0</v>
      </c>
      <c r="BG6" s="444">
        <v>0</v>
      </c>
      <c r="BH6" s="458">
        <v>1</v>
      </c>
      <c r="BI6" s="444">
        <v>0</v>
      </c>
      <c r="BJ6" s="444">
        <v>1</v>
      </c>
      <c r="BK6" s="444">
        <v>0</v>
      </c>
    </row>
    <row r="7" spans="1:63" ht="14.5" x14ac:dyDescent="0.35">
      <c r="A7" s="454">
        <v>131799</v>
      </c>
      <c r="B7" s="454">
        <v>8312003</v>
      </c>
      <c r="C7" s="455" t="s">
        <v>62</v>
      </c>
      <c r="D7" s="431" t="s">
        <v>265</v>
      </c>
      <c r="E7" s="456">
        <v>0</v>
      </c>
      <c r="F7" s="457">
        <v>1</v>
      </c>
      <c r="G7" s="444">
        <v>0</v>
      </c>
      <c r="H7" s="444">
        <v>0</v>
      </c>
      <c r="I7" s="444">
        <v>7</v>
      </c>
      <c r="J7" s="444">
        <v>0</v>
      </c>
      <c r="K7" s="444">
        <v>0</v>
      </c>
      <c r="L7" s="444">
        <v>0</v>
      </c>
      <c r="M7" s="444">
        <v>197</v>
      </c>
      <c r="N7" s="444">
        <v>197</v>
      </c>
      <c r="O7" s="444">
        <v>30</v>
      </c>
      <c r="P7" s="444">
        <v>167</v>
      </c>
      <c r="Q7" s="444">
        <v>0</v>
      </c>
      <c r="R7" s="444">
        <v>0</v>
      </c>
      <c r="S7" s="444">
        <v>0</v>
      </c>
      <c r="T7" s="444">
        <v>0</v>
      </c>
      <c r="U7" s="444">
        <v>0</v>
      </c>
      <c r="V7" s="444">
        <v>0</v>
      </c>
      <c r="W7" s="444">
        <v>0</v>
      </c>
      <c r="X7" s="444">
        <v>0</v>
      </c>
      <c r="Y7" s="444">
        <v>28.142857142857142</v>
      </c>
      <c r="Z7" s="444">
        <v>37.999999999999915</v>
      </c>
      <c r="AA7" s="444">
        <v>38.999999999999972</v>
      </c>
      <c r="AB7" s="444">
        <v>0</v>
      </c>
      <c r="AC7" s="444">
        <v>0</v>
      </c>
      <c r="AD7" s="444">
        <v>189.99999999999997</v>
      </c>
      <c r="AE7" s="444">
        <v>2.9999999999999831</v>
      </c>
      <c r="AF7" s="444">
        <v>1.999999999999982</v>
      </c>
      <c r="AG7" s="444">
        <v>0</v>
      </c>
      <c r="AH7" s="444">
        <v>0</v>
      </c>
      <c r="AI7" s="444">
        <v>1.999999999999982</v>
      </c>
      <c r="AJ7" s="444">
        <v>0</v>
      </c>
      <c r="AK7" s="444">
        <v>0</v>
      </c>
      <c r="AL7" s="444">
        <v>0</v>
      </c>
      <c r="AM7" s="444">
        <v>0</v>
      </c>
      <c r="AN7" s="444">
        <v>0</v>
      </c>
      <c r="AO7" s="444">
        <v>0</v>
      </c>
      <c r="AP7" s="444">
        <v>0</v>
      </c>
      <c r="AQ7" s="444">
        <v>0</v>
      </c>
      <c r="AR7" s="444">
        <v>7.0778443113772358</v>
      </c>
      <c r="AS7" s="444">
        <v>0</v>
      </c>
      <c r="AT7" s="444">
        <v>42.585153204562531</v>
      </c>
      <c r="AU7" s="444">
        <v>0</v>
      </c>
      <c r="AV7" s="444">
        <v>0</v>
      </c>
      <c r="AW7" s="444">
        <v>0</v>
      </c>
      <c r="AX7" s="444">
        <v>0</v>
      </c>
      <c r="AY7" s="444">
        <v>0</v>
      </c>
      <c r="AZ7" s="444">
        <v>0</v>
      </c>
      <c r="BA7" s="444">
        <v>0</v>
      </c>
      <c r="BB7" s="444">
        <v>0</v>
      </c>
      <c r="BC7" s="444">
        <v>1.2490000000000001</v>
      </c>
      <c r="BD7" s="444">
        <v>0</v>
      </c>
      <c r="BE7" s="444">
        <v>0</v>
      </c>
      <c r="BF7" s="444">
        <v>0</v>
      </c>
      <c r="BG7" s="444">
        <v>0</v>
      </c>
      <c r="BH7" s="458">
        <v>1</v>
      </c>
      <c r="BI7" s="444">
        <v>0</v>
      </c>
      <c r="BJ7" s="444">
        <v>1</v>
      </c>
      <c r="BK7" s="444">
        <v>0</v>
      </c>
    </row>
    <row r="8" spans="1:63" ht="14.5" x14ac:dyDescent="0.35">
      <c r="A8" s="454">
        <v>131685</v>
      </c>
      <c r="B8" s="454">
        <v>8312005</v>
      </c>
      <c r="C8" s="455" t="s">
        <v>63</v>
      </c>
      <c r="D8" s="431" t="s">
        <v>265</v>
      </c>
      <c r="E8" s="456">
        <v>0</v>
      </c>
      <c r="F8" s="457">
        <v>1</v>
      </c>
      <c r="G8" s="444">
        <v>0</v>
      </c>
      <c r="H8" s="444">
        <v>0</v>
      </c>
      <c r="I8" s="444">
        <v>7</v>
      </c>
      <c r="J8" s="444">
        <v>0</v>
      </c>
      <c r="K8" s="444">
        <v>0</v>
      </c>
      <c r="L8" s="444">
        <v>0</v>
      </c>
      <c r="M8" s="444">
        <v>312</v>
      </c>
      <c r="N8" s="444">
        <v>312</v>
      </c>
      <c r="O8" s="444">
        <v>44</v>
      </c>
      <c r="P8" s="444">
        <v>268</v>
      </c>
      <c r="Q8" s="444">
        <v>0</v>
      </c>
      <c r="R8" s="444">
        <v>0</v>
      </c>
      <c r="S8" s="444">
        <v>0</v>
      </c>
      <c r="T8" s="444">
        <v>0</v>
      </c>
      <c r="U8" s="444">
        <v>0</v>
      </c>
      <c r="V8" s="444">
        <v>0</v>
      </c>
      <c r="W8" s="444">
        <v>0</v>
      </c>
      <c r="X8" s="444">
        <v>0</v>
      </c>
      <c r="Y8" s="444">
        <v>44.571428571428569</v>
      </c>
      <c r="Z8" s="444">
        <v>107.99999999999994</v>
      </c>
      <c r="AA8" s="444">
        <v>110.99999999999976</v>
      </c>
      <c r="AB8" s="444">
        <v>0</v>
      </c>
      <c r="AC8" s="444">
        <v>0</v>
      </c>
      <c r="AD8" s="444">
        <v>8.9999999999999858</v>
      </c>
      <c r="AE8" s="444">
        <v>66.999999999999773</v>
      </c>
      <c r="AF8" s="444">
        <v>113.99999999999987</v>
      </c>
      <c r="AG8" s="444">
        <v>2</v>
      </c>
      <c r="AH8" s="444">
        <v>21.999999999999996</v>
      </c>
      <c r="AI8" s="444">
        <v>55.999999999999844</v>
      </c>
      <c r="AJ8" s="444">
        <v>41.999999999999808</v>
      </c>
      <c r="AK8" s="444">
        <v>0</v>
      </c>
      <c r="AL8" s="444">
        <v>0</v>
      </c>
      <c r="AM8" s="444">
        <v>0</v>
      </c>
      <c r="AN8" s="444">
        <v>0</v>
      </c>
      <c r="AO8" s="444">
        <v>0</v>
      </c>
      <c r="AP8" s="444">
        <v>0</v>
      </c>
      <c r="AQ8" s="444">
        <v>0</v>
      </c>
      <c r="AR8" s="444">
        <v>49.263157894736764</v>
      </c>
      <c r="AS8" s="444">
        <v>0</v>
      </c>
      <c r="AT8" s="444">
        <v>90.104192279321367</v>
      </c>
      <c r="AU8" s="444">
        <v>0</v>
      </c>
      <c r="AV8" s="444">
        <v>0</v>
      </c>
      <c r="AW8" s="444">
        <v>0</v>
      </c>
      <c r="AX8" s="444">
        <v>0</v>
      </c>
      <c r="AY8" s="444">
        <v>0</v>
      </c>
      <c r="AZ8" s="444">
        <v>0</v>
      </c>
      <c r="BA8" s="444">
        <v>4.2799999999999967</v>
      </c>
      <c r="BB8" s="444">
        <v>0</v>
      </c>
      <c r="BC8" s="444">
        <v>0.755</v>
      </c>
      <c r="BD8" s="444">
        <v>0</v>
      </c>
      <c r="BE8" s="444">
        <v>0</v>
      </c>
      <c r="BF8" s="444">
        <v>0</v>
      </c>
      <c r="BG8" s="444">
        <v>0</v>
      </c>
      <c r="BH8" s="458">
        <v>1</v>
      </c>
      <c r="BI8" s="444">
        <v>0</v>
      </c>
      <c r="BJ8" s="444">
        <v>1</v>
      </c>
      <c r="BK8" s="444">
        <v>0</v>
      </c>
    </row>
    <row r="9" spans="1:63" ht="14.5" x14ac:dyDescent="0.35">
      <c r="A9" s="454">
        <v>112717</v>
      </c>
      <c r="B9" s="454">
        <v>8312405</v>
      </c>
      <c r="C9" s="455" t="s">
        <v>64</v>
      </c>
      <c r="D9" s="431" t="s">
        <v>265</v>
      </c>
      <c r="E9" s="456">
        <v>0</v>
      </c>
      <c r="F9" s="457">
        <v>1</v>
      </c>
      <c r="G9" s="444">
        <v>0</v>
      </c>
      <c r="H9" s="444">
        <v>0</v>
      </c>
      <c r="I9" s="444">
        <v>7</v>
      </c>
      <c r="J9" s="444">
        <v>0</v>
      </c>
      <c r="K9" s="444">
        <v>0</v>
      </c>
      <c r="L9" s="444">
        <v>0</v>
      </c>
      <c r="M9" s="444">
        <v>209</v>
      </c>
      <c r="N9" s="444">
        <v>209</v>
      </c>
      <c r="O9" s="444">
        <v>30</v>
      </c>
      <c r="P9" s="444">
        <v>179</v>
      </c>
      <c r="Q9" s="444">
        <v>0</v>
      </c>
      <c r="R9" s="444">
        <v>0</v>
      </c>
      <c r="S9" s="444">
        <v>0</v>
      </c>
      <c r="T9" s="444">
        <v>0</v>
      </c>
      <c r="U9" s="444">
        <v>0</v>
      </c>
      <c r="V9" s="444">
        <v>0</v>
      </c>
      <c r="W9" s="444">
        <v>0</v>
      </c>
      <c r="X9" s="444">
        <v>0</v>
      </c>
      <c r="Y9" s="444">
        <v>29.857142857142858</v>
      </c>
      <c r="Z9" s="444">
        <v>122.00000000000001</v>
      </c>
      <c r="AA9" s="444">
        <v>122.00000000000001</v>
      </c>
      <c r="AB9" s="444">
        <v>0</v>
      </c>
      <c r="AC9" s="444">
        <v>0</v>
      </c>
      <c r="AD9" s="444">
        <v>4.9999999999999885</v>
      </c>
      <c r="AE9" s="444">
        <v>1.9999999999999996</v>
      </c>
      <c r="AF9" s="444">
        <v>101.99999999999984</v>
      </c>
      <c r="AG9" s="444">
        <v>10.999999999999995</v>
      </c>
      <c r="AH9" s="444">
        <v>21.999999999999826</v>
      </c>
      <c r="AI9" s="444">
        <v>64.999999999999957</v>
      </c>
      <c r="AJ9" s="444">
        <v>1.9999999999999996</v>
      </c>
      <c r="AK9" s="444">
        <v>0</v>
      </c>
      <c r="AL9" s="444">
        <v>0</v>
      </c>
      <c r="AM9" s="444">
        <v>0</v>
      </c>
      <c r="AN9" s="444">
        <v>0</v>
      </c>
      <c r="AO9" s="444">
        <v>0</v>
      </c>
      <c r="AP9" s="444">
        <v>0</v>
      </c>
      <c r="AQ9" s="444">
        <v>0</v>
      </c>
      <c r="AR9" s="444">
        <v>81.731843575418893</v>
      </c>
      <c r="AS9" s="444">
        <v>0</v>
      </c>
      <c r="AT9" s="444">
        <v>111.26940038301622</v>
      </c>
      <c r="AU9" s="444">
        <v>0</v>
      </c>
      <c r="AV9" s="444">
        <v>0</v>
      </c>
      <c r="AW9" s="444">
        <v>0</v>
      </c>
      <c r="AX9" s="444">
        <v>0</v>
      </c>
      <c r="AY9" s="444">
        <v>0</v>
      </c>
      <c r="AZ9" s="444">
        <v>0</v>
      </c>
      <c r="BA9" s="444">
        <v>2.4599999999999858</v>
      </c>
      <c r="BB9" s="444">
        <v>0</v>
      </c>
      <c r="BC9" s="444">
        <v>0.626</v>
      </c>
      <c r="BD9" s="444">
        <v>0</v>
      </c>
      <c r="BE9" s="444">
        <v>0</v>
      </c>
      <c r="BF9" s="444">
        <v>0</v>
      </c>
      <c r="BG9" s="444">
        <v>0</v>
      </c>
      <c r="BH9" s="458">
        <v>1</v>
      </c>
      <c r="BI9" s="444">
        <v>0</v>
      </c>
      <c r="BJ9" s="444">
        <v>1</v>
      </c>
      <c r="BK9" s="444">
        <v>0</v>
      </c>
    </row>
    <row r="10" spans="1:63" ht="14.5" x14ac:dyDescent="0.35">
      <c r="A10" s="454">
        <v>112720</v>
      </c>
      <c r="B10" s="454">
        <v>8312409</v>
      </c>
      <c r="C10" s="455" t="s">
        <v>65</v>
      </c>
      <c r="D10" s="431" t="s">
        <v>265</v>
      </c>
      <c r="E10" s="456">
        <v>0</v>
      </c>
      <c r="F10" s="457">
        <v>1</v>
      </c>
      <c r="G10" s="444">
        <v>0</v>
      </c>
      <c r="H10" s="444">
        <v>0</v>
      </c>
      <c r="I10" s="444">
        <v>7</v>
      </c>
      <c r="J10" s="444">
        <v>0</v>
      </c>
      <c r="K10" s="444">
        <v>0</v>
      </c>
      <c r="L10" s="444">
        <v>0</v>
      </c>
      <c r="M10" s="444">
        <v>545</v>
      </c>
      <c r="N10" s="444">
        <v>545</v>
      </c>
      <c r="O10" s="444">
        <v>72</v>
      </c>
      <c r="P10" s="444">
        <v>473</v>
      </c>
      <c r="Q10" s="444">
        <v>0</v>
      </c>
      <c r="R10" s="444">
        <v>0</v>
      </c>
      <c r="S10" s="444">
        <v>0</v>
      </c>
      <c r="T10" s="444">
        <v>0</v>
      </c>
      <c r="U10" s="444">
        <v>0</v>
      </c>
      <c r="V10" s="444">
        <v>0</v>
      </c>
      <c r="W10" s="444">
        <v>0</v>
      </c>
      <c r="X10" s="444">
        <v>0</v>
      </c>
      <c r="Y10" s="444">
        <v>77.857142857142861</v>
      </c>
      <c r="Z10" s="444">
        <v>295.99999999999955</v>
      </c>
      <c r="AA10" s="444">
        <v>300.99999999999983</v>
      </c>
      <c r="AB10" s="444">
        <v>0</v>
      </c>
      <c r="AC10" s="444">
        <v>0</v>
      </c>
      <c r="AD10" s="444">
        <v>122.99999999999979</v>
      </c>
      <c r="AE10" s="444">
        <v>8.9999999999999947</v>
      </c>
      <c r="AF10" s="444">
        <v>189.99999999999991</v>
      </c>
      <c r="AG10" s="444">
        <v>129</v>
      </c>
      <c r="AH10" s="444">
        <v>78.999999999999474</v>
      </c>
      <c r="AI10" s="444">
        <v>7.9999999999999956</v>
      </c>
      <c r="AJ10" s="444">
        <v>6.9999999999999964</v>
      </c>
      <c r="AK10" s="444">
        <v>0</v>
      </c>
      <c r="AL10" s="444">
        <v>0</v>
      </c>
      <c r="AM10" s="444">
        <v>0</v>
      </c>
      <c r="AN10" s="444">
        <v>0</v>
      </c>
      <c r="AO10" s="444">
        <v>0</v>
      </c>
      <c r="AP10" s="444">
        <v>0</v>
      </c>
      <c r="AQ10" s="444">
        <v>0</v>
      </c>
      <c r="AR10" s="444">
        <v>230.44397463002068</v>
      </c>
      <c r="AS10" s="444">
        <v>0</v>
      </c>
      <c r="AT10" s="444">
        <v>255.22862005376325</v>
      </c>
      <c r="AU10" s="444">
        <v>0</v>
      </c>
      <c r="AV10" s="444">
        <v>0</v>
      </c>
      <c r="AW10" s="444">
        <v>0</v>
      </c>
      <c r="AX10" s="444">
        <v>0</v>
      </c>
      <c r="AY10" s="444">
        <v>0</v>
      </c>
      <c r="AZ10" s="444">
        <v>0</v>
      </c>
      <c r="BA10" s="444">
        <v>3.2999999999999807</v>
      </c>
      <c r="BB10" s="444">
        <v>0</v>
      </c>
      <c r="BC10" s="444">
        <v>0.496</v>
      </c>
      <c r="BD10" s="444">
        <v>0</v>
      </c>
      <c r="BE10" s="444">
        <v>0</v>
      </c>
      <c r="BF10" s="444">
        <v>0</v>
      </c>
      <c r="BG10" s="444">
        <v>0</v>
      </c>
      <c r="BH10" s="458">
        <v>1</v>
      </c>
      <c r="BI10" s="444">
        <v>0</v>
      </c>
      <c r="BJ10" s="444">
        <v>1</v>
      </c>
      <c r="BK10" s="444">
        <v>0</v>
      </c>
    </row>
    <row r="11" spans="1:63" ht="14.5" x14ac:dyDescent="0.35">
      <c r="A11" s="454">
        <v>112728</v>
      </c>
      <c r="B11" s="454">
        <v>8312424</v>
      </c>
      <c r="C11" s="455" t="s">
        <v>66</v>
      </c>
      <c r="D11" s="431" t="s">
        <v>265</v>
      </c>
      <c r="E11" s="456">
        <v>0</v>
      </c>
      <c r="F11" s="457">
        <v>1</v>
      </c>
      <c r="G11" s="444">
        <v>0</v>
      </c>
      <c r="H11" s="444">
        <v>0</v>
      </c>
      <c r="I11" s="444">
        <v>3</v>
      </c>
      <c r="J11" s="444">
        <v>0</v>
      </c>
      <c r="K11" s="444">
        <v>0</v>
      </c>
      <c r="L11" s="444">
        <v>0</v>
      </c>
      <c r="M11" s="444">
        <v>259</v>
      </c>
      <c r="N11" s="444">
        <v>259</v>
      </c>
      <c r="O11" s="444">
        <v>86</v>
      </c>
      <c r="P11" s="444">
        <v>173</v>
      </c>
      <c r="Q11" s="444">
        <v>0</v>
      </c>
      <c r="R11" s="444">
        <v>0</v>
      </c>
      <c r="S11" s="444">
        <v>0</v>
      </c>
      <c r="T11" s="444">
        <v>0</v>
      </c>
      <c r="U11" s="444">
        <v>0</v>
      </c>
      <c r="V11" s="444">
        <v>0</v>
      </c>
      <c r="W11" s="444">
        <v>0</v>
      </c>
      <c r="X11" s="444">
        <v>0</v>
      </c>
      <c r="Y11" s="444">
        <v>86.333333333333329</v>
      </c>
      <c r="Z11" s="444">
        <v>156.99999999999994</v>
      </c>
      <c r="AA11" s="444">
        <v>159.9999999999998</v>
      </c>
      <c r="AB11" s="444">
        <v>0</v>
      </c>
      <c r="AC11" s="444">
        <v>0</v>
      </c>
      <c r="AD11" s="444">
        <v>5.9999999999999822</v>
      </c>
      <c r="AE11" s="444">
        <v>23</v>
      </c>
      <c r="AF11" s="444">
        <v>28.999999999999748</v>
      </c>
      <c r="AG11" s="444">
        <v>95.999999999999844</v>
      </c>
      <c r="AH11" s="444">
        <v>91.999999999999943</v>
      </c>
      <c r="AI11" s="444">
        <v>6.9999999999999929</v>
      </c>
      <c r="AJ11" s="444">
        <v>5.9999999999999822</v>
      </c>
      <c r="AK11" s="444">
        <v>0</v>
      </c>
      <c r="AL11" s="444">
        <v>0</v>
      </c>
      <c r="AM11" s="444">
        <v>0</v>
      </c>
      <c r="AN11" s="444">
        <v>0</v>
      </c>
      <c r="AO11" s="444">
        <v>0</v>
      </c>
      <c r="AP11" s="444">
        <v>0</v>
      </c>
      <c r="AQ11" s="444">
        <v>0</v>
      </c>
      <c r="AR11" s="444">
        <v>230.38953488372087</v>
      </c>
      <c r="AS11" s="444">
        <v>0</v>
      </c>
      <c r="AT11" s="444">
        <v>91.411764705882291</v>
      </c>
      <c r="AU11" s="444">
        <v>0</v>
      </c>
      <c r="AV11" s="444">
        <v>0</v>
      </c>
      <c r="AW11" s="444">
        <v>0</v>
      </c>
      <c r="AX11" s="444">
        <v>0</v>
      </c>
      <c r="AY11" s="444">
        <v>0</v>
      </c>
      <c r="AZ11" s="444">
        <v>0</v>
      </c>
      <c r="BA11" s="444">
        <v>4.4599999999999964</v>
      </c>
      <c r="BB11" s="444">
        <v>0</v>
      </c>
      <c r="BC11" s="444">
        <v>0.46899999999999997</v>
      </c>
      <c r="BD11" s="444">
        <v>0</v>
      </c>
      <c r="BE11" s="444">
        <v>0</v>
      </c>
      <c r="BF11" s="444">
        <v>0</v>
      </c>
      <c r="BG11" s="444">
        <v>0</v>
      </c>
      <c r="BH11" s="458">
        <v>1</v>
      </c>
      <c r="BI11" s="444">
        <v>0</v>
      </c>
      <c r="BJ11" s="444">
        <v>1</v>
      </c>
      <c r="BK11" s="444">
        <v>0</v>
      </c>
    </row>
    <row r="12" spans="1:63" ht="14.5" x14ac:dyDescent="0.35">
      <c r="A12" s="454">
        <v>112733</v>
      </c>
      <c r="B12" s="454">
        <v>8312429</v>
      </c>
      <c r="C12" s="455" t="s">
        <v>67</v>
      </c>
      <c r="D12" s="431" t="s">
        <v>265</v>
      </c>
      <c r="E12" s="456">
        <v>0</v>
      </c>
      <c r="F12" s="457">
        <v>1</v>
      </c>
      <c r="G12" s="444">
        <v>0</v>
      </c>
      <c r="H12" s="444">
        <v>0</v>
      </c>
      <c r="I12" s="444">
        <v>3</v>
      </c>
      <c r="J12" s="444">
        <v>0</v>
      </c>
      <c r="K12" s="444">
        <v>0</v>
      </c>
      <c r="L12" s="444">
        <v>0</v>
      </c>
      <c r="M12" s="444">
        <v>145</v>
      </c>
      <c r="N12" s="444">
        <v>145</v>
      </c>
      <c r="O12" s="444">
        <v>44</v>
      </c>
      <c r="P12" s="444">
        <v>101</v>
      </c>
      <c r="Q12" s="444">
        <v>0</v>
      </c>
      <c r="R12" s="444">
        <v>0</v>
      </c>
      <c r="S12" s="444">
        <v>0</v>
      </c>
      <c r="T12" s="444">
        <v>0</v>
      </c>
      <c r="U12" s="444">
        <v>0</v>
      </c>
      <c r="V12" s="444">
        <v>0</v>
      </c>
      <c r="W12" s="444">
        <v>0</v>
      </c>
      <c r="X12" s="444">
        <v>0</v>
      </c>
      <c r="Y12" s="444">
        <v>48.333333333333336</v>
      </c>
      <c r="Z12" s="444">
        <v>54.999999999999972</v>
      </c>
      <c r="AA12" s="444">
        <v>56.999999999999993</v>
      </c>
      <c r="AB12" s="444">
        <v>0</v>
      </c>
      <c r="AC12" s="444">
        <v>0</v>
      </c>
      <c r="AD12" s="444">
        <v>7.9999999999999929</v>
      </c>
      <c r="AE12" s="444">
        <v>29.999999999999865</v>
      </c>
      <c r="AF12" s="444">
        <v>17.99999999999989</v>
      </c>
      <c r="AG12" s="444">
        <v>43.999999999999865</v>
      </c>
      <c r="AH12" s="444">
        <v>26.999999999999982</v>
      </c>
      <c r="AI12" s="444">
        <v>4.999999999999992</v>
      </c>
      <c r="AJ12" s="444">
        <v>13</v>
      </c>
      <c r="AK12" s="444">
        <v>0</v>
      </c>
      <c r="AL12" s="444">
        <v>0</v>
      </c>
      <c r="AM12" s="444">
        <v>0</v>
      </c>
      <c r="AN12" s="444">
        <v>0</v>
      </c>
      <c r="AO12" s="444">
        <v>0</v>
      </c>
      <c r="AP12" s="444">
        <v>0</v>
      </c>
      <c r="AQ12" s="444">
        <v>0</v>
      </c>
      <c r="AR12" s="444">
        <v>120.5940594059405</v>
      </c>
      <c r="AS12" s="444">
        <v>0</v>
      </c>
      <c r="AT12" s="444">
        <v>72.499999999999858</v>
      </c>
      <c r="AU12" s="444">
        <v>0</v>
      </c>
      <c r="AV12" s="444">
        <v>0</v>
      </c>
      <c r="AW12" s="444">
        <v>0</v>
      </c>
      <c r="AX12" s="444">
        <v>0</v>
      </c>
      <c r="AY12" s="444">
        <v>0</v>
      </c>
      <c r="AZ12" s="444">
        <v>0</v>
      </c>
      <c r="BA12" s="444">
        <v>0.29999999999998911</v>
      </c>
      <c r="BB12" s="444">
        <v>0</v>
      </c>
      <c r="BC12" s="444">
        <v>0.44700000000000001</v>
      </c>
      <c r="BD12" s="444">
        <v>0</v>
      </c>
      <c r="BE12" s="444">
        <v>0</v>
      </c>
      <c r="BF12" s="444">
        <v>0</v>
      </c>
      <c r="BG12" s="444">
        <v>0</v>
      </c>
      <c r="BH12" s="458">
        <v>1</v>
      </c>
      <c r="BI12" s="444">
        <v>0</v>
      </c>
      <c r="BJ12" s="444">
        <v>1</v>
      </c>
      <c r="BK12" s="444">
        <v>0</v>
      </c>
    </row>
    <row r="13" spans="1:63" ht="14.5" x14ac:dyDescent="0.35">
      <c r="A13" s="454">
        <v>112739</v>
      </c>
      <c r="B13" s="454">
        <v>8312436</v>
      </c>
      <c r="C13" s="455" t="s">
        <v>68</v>
      </c>
      <c r="D13" s="431" t="s">
        <v>265</v>
      </c>
      <c r="E13" s="456">
        <v>0</v>
      </c>
      <c r="F13" s="457">
        <v>1</v>
      </c>
      <c r="G13" s="444">
        <v>0</v>
      </c>
      <c r="H13" s="444">
        <v>0</v>
      </c>
      <c r="I13" s="444">
        <v>7</v>
      </c>
      <c r="J13" s="444">
        <v>0</v>
      </c>
      <c r="K13" s="444">
        <v>0</v>
      </c>
      <c r="L13" s="444">
        <v>0</v>
      </c>
      <c r="M13" s="444">
        <v>418</v>
      </c>
      <c r="N13" s="444">
        <v>418</v>
      </c>
      <c r="O13" s="444">
        <v>61</v>
      </c>
      <c r="P13" s="444">
        <v>357</v>
      </c>
      <c r="Q13" s="444">
        <v>0</v>
      </c>
      <c r="R13" s="444">
        <v>0</v>
      </c>
      <c r="S13" s="444">
        <v>0</v>
      </c>
      <c r="T13" s="444">
        <v>0</v>
      </c>
      <c r="U13" s="444">
        <v>0</v>
      </c>
      <c r="V13" s="444">
        <v>0</v>
      </c>
      <c r="W13" s="444">
        <v>0</v>
      </c>
      <c r="X13" s="444">
        <v>0</v>
      </c>
      <c r="Y13" s="444">
        <v>59.714285714285715</v>
      </c>
      <c r="Z13" s="444">
        <v>104.99999999999964</v>
      </c>
      <c r="AA13" s="444">
        <v>104.99999999999964</v>
      </c>
      <c r="AB13" s="444">
        <v>0</v>
      </c>
      <c r="AC13" s="444">
        <v>0</v>
      </c>
      <c r="AD13" s="444">
        <v>230.99999999999983</v>
      </c>
      <c r="AE13" s="444">
        <v>71.999999999999929</v>
      </c>
      <c r="AF13" s="444">
        <v>67.999999999999758</v>
      </c>
      <c r="AG13" s="444">
        <v>0</v>
      </c>
      <c r="AH13" s="444">
        <v>3.9999999999999991</v>
      </c>
      <c r="AI13" s="444">
        <v>7.9999999999999822</v>
      </c>
      <c r="AJ13" s="444">
        <v>34.999999999999979</v>
      </c>
      <c r="AK13" s="444">
        <v>0</v>
      </c>
      <c r="AL13" s="444">
        <v>0</v>
      </c>
      <c r="AM13" s="444">
        <v>0</v>
      </c>
      <c r="AN13" s="444">
        <v>0</v>
      </c>
      <c r="AO13" s="444">
        <v>0</v>
      </c>
      <c r="AP13" s="444">
        <v>0</v>
      </c>
      <c r="AQ13" s="444">
        <v>0</v>
      </c>
      <c r="AR13" s="444">
        <v>37.999999999999993</v>
      </c>
      <c r="AS13" s="444">
        <v>0</v>
      </c>
      <c r="AT13" s="444">
        <v>107.39485110389808</v>
      </c>
      <c r="AU13" s="444">
        <v>0</v>
      </c>
      <c r="AV13" s="444">
        <v>0</v>
      </c>
      <c r="AW13" s="444">
        <v>0</v>
      </c>
      <c r="AX13" s="444">
        <v>0</v>
      </c>
      <c r="AY13" s="444">
        <v>0</v>
      </c>
      <c r="AZ13" s="444">
        <v>0</v>
      </c>
      <c r="BA13" s="444">
        <v>0</v>
      </c>
      <c r="BB13" s="444">
        <v>0</v>
      </c>
      <c r="BC13" s="444">
        <v>0.65400000000000003</v>
      </c>
      <c r="BD13" s="444">
        <v>0</v>
      </c>
      <c r="BE13" s="444">
        <v>0</v>
      </c>
      <c r="BF13" s="444">
        <v>0</v>
      </c>
      <c r="BG13" s="444">
        <v>0</v>
      </c>
      <c r="BH13" s="458">
        <v>1</v>
      </c>
      <c r="BI13" s="444">
        <v>0</v>
      </c>
      <c r="BJ13" s="444">
        <v>1</v>
      </c>
      <c r="BK13" s="444">
        <v>0</v>
      </c>
    </row>
    <row r="14" spans="1:63" ht="14.5" x14ac:dyDescent="0.35">
      <c r="A14" s="454">
        <v>112740</v>
      </c>
      <c r="B14" s="454">
        <v>8312439</v>
      </c>
      <c r="C14" s="455" t="s">
        <v>69</v>
      </c>
      <c r="D14" s="431" t="s">
        <v>265</v>
      </c>
      <c r="E14" s="456">
        <v>0</v>
      </c>
      <c r="F14" s="457">
        <v>1</v>
      </c>
      <c r="G14" s="444">
        <v>0</v>
      </c>
      <c r="H14" s="444">
        <v>0</v>
      </c>
      <c r="I14" s="444">
        <v>3</v>
      </c>
      <c r="J14" s="444">
        <v>0</v>
      </c>
      <c r="K14" s="444">
        <v>0</v>
      </c>
      <c r="L14" s="444">
        <v>0</v>
      </c>
      <c r="M14" s="444">
        <v>166</v>
      </c>
      <c r="N14" s="444">
        <v>166</v>
      </c>
      <c r="O14" s="444">
        <v>57</v>
      </c>
      <c r="P14" s="444">
        <v>109</v>
      </c>
      <c r="Q14" s="444">
        <v>0</v>
      </c>
      <c r="R14" s="444">
        <v>0</v>
      </c>
      <c r="S14" s="444">
        <v>0</v>
      </c>
      <c r="T14" s="444">
        <v>0</v>
      </c>
      <c r="U14" s="444">
        <v>0</v>
      </c>
      <c r="V14" s="444">
        <v>0</v>
      </c>
      <c r="W14" s="444">
        <v>0</v>
      </c>
      <c r="X14" s="444">
        <v>0</v>
      </c>
      <c r="Y14" s="444">
        <v>55.333333333333336</v>
      </c>
      <c r="Z14" s="444">
        <v>30.999999999999961</v>
      </c>
      <c r="AA14" s="444">
        <v>31.999999999999932</v>
      </c>
      <c r="AB14" s="444">
        <v>0</v>
      </c>
      <c r="AC14" s="444">
        <v>0</v>
      </c>
      <c r="AD14" s="444">
        <v>144.87272727272716</v>
      </c>
      <c r="AE14" s="444">
        <v>10.060606060606061</v>
      </c>
      <c r="AF14" s="444">
        <v>8.0484848484848346</v>
      </c>
      <c r="AG14" s="444">
        <v>0</v>
      </c>
      <c r="AH14" s="444">
        <v>2.0121212121212086</v>
      </c>
      <c r="AI14" s="444">
        <v>1.0060606060606059</v>
      </c>
      <c r="AJ14" s="444">
        <v>0</v>
      </c>
      <c r="AK14" s="444">
        <v>0</v>
      </c>
      <c r="AL14" s="444">
        <v>0</v>
      </c>
      <c r="AM14" s="444">
        <v>0</v>
      </c>
      <c r="AN14" s="444">
        <v>0</v>
      </c>
      <c r="AO14" s="444">
        <v>0</v>
      </c>
      <c r="AP14" s="444">
        <v>0</v>
      </c>
      <c r="AQ14" s="444">
        <v>0</v>
      </c>
      <c r="AR14" s="444">
        <v>9.1376146788990784</v>
      </c>
      <c r="AS14" s="444">
        <v>0</v>
      </c>
      <c r="AT14" s="444">
        <v>41.5</v>
      </c>
      <c r="AU14" s="444">
        <v>0</v>
      </c>
      <c r="AV14" s="444">
        <v>0</v>
      </c>
      <c r="AW14" s="444">
        <v>0</v>
      </c>
      <c r="AX14" s="444">
        <v>0</v>
      </c>
      <c r="AY14" s="444">
        <v>0</v>
      </c>
      <c r="AZ14" s="444">
        <v>0</v>
      </c>
      <c r="BA14" s="444">
        <v>0</v>
      </c>
      <c r="BB14" s="444">
        <v>0</v>
      </c>
      <c r="BC14" s="444">
        <v>1.0529999999999999</v>
      </c>
      <c r="BD14" s="444">
        <v>0</v>
      </c>
      <c r="BE14" s="444">
        <v>0</v>
      </c>
      <c r="BF14" s="444">
        <v>0</v>
      </c>
      <c r="BG14" s="444">
        <v>0</v>
      </c>
      <c r="BH14" s="458">
        <v>1</v>
      </c>
      <c r="BI14" s="444">
        <v>0</v>
      </c>
      <c r="BJ14" s="444">
        <v>1</v>
      </c>
      <c r="BK14" s="444">
        <v>0</v>
      </c>
    </row>
    <row r="15" spans="1:63" ht="14.5" x14ac:dyDescent="0.35">
      <c r="A15" s="454">
        <v>112744</v>
      </c>
      <c r="B15" s="454">
        <v>8312443</v>
      </c>
      <c r="C15" s="455" t="s">
        <v>70</v>
      </c>
      <c r="D15" s="431" t="s">
        <v>265</v>
      </c>
      <c r="E15" s="456">
        <v>0</v>
      </c>
      <c r="F15" s="457">
        <v>1</v>
      </c>
      <c r="G15" s="444">
        <v>0</v>
      </c>
      <c r="H15" s="444">
        <v>0</v>
      </c>
      <c r="I15" s="444">
        <v>3</v>
      </c>
      <c r="J15" s="444">
        <v>0</v>
      </c>
      <c r="K15" s="444">
        <v>0</v>
      </c>
      <c r="L15" s="444">
        <v>0</v>
      </c>
      <c r="M15" s="444">
        <v>241</v>
      </c>
      <c r="N15" s="444">
        <v>241</v>
      </c>
      <c r="O15" s="444">
        <v>82</v>
      </c>
      <c r="P15" s="444">
        <v>159</v>
      </c>
      <c r="Q15" s="444">
        <v>0</v>
      </c>
      <c r="R15" s="444">
        <v>0</v>
      </c>
      <c r="S15" s="444">
        <v>0</v>
      </c>
      <c r="T15" s="444">
        <v>0</v>
      </c>
      <c r="U15" s="444">
        <v>0</v>
      </c>
      <c r="V15" s="444">
        <v>0</v>
      </c>
      <c r="W15" s="444">
        <v>0</v>
      </c>
      <c r="X15" s="444">
        <v>0</v>
      </c>
      <c r="Y15" s="444">
        <v>80.333333333333329</v>
      </c>
      <c r="Z15" s="444">
        <v>86.999999999999858</v>
      </c>
      <c r="AA15" s="444">
        <v>87.999999999999844</v>
      </c>
      <c r="AB15" s="444">
        <v>0</v>
      </c>
      <c r="AC15" s="444">
        <v>0</v>
      </c>
      <c r="AD15" s="444">
        <v>87.999999999999844</v>
      </c>
      <c r="AE15" s="444">
        <v>36.999999999999794</v>
      </c>
      <c r="AF15" s="444">
        <v>38.999999999999801</v>
      </c>
      <c r="AG15" s="444">
        <v>0</v>
      </c>
      <c r="AH15" s="444">
        <v>48.999999999999808</v>
      </c>
      <c r="AI15" s="444">
        <v>14.999999999999989</v>
      </c>
      <c r="AJ15" s="444">
        <v>12.999999999999989</v>
      </c>
      <c r="AK15" s="444">
        <v>0</v>
      </c>
      <c r="AL15" s="444">
        <v>0</v>
      </c>
      <c r="AM15" s="444">
        <v>0</v>
      </c>
      <c r="AN15" s="444">
        <v>0</v>
      </c>
      <c r="AO15" s="444">
        <v>0</v>
      </c>
      <c r="AP15" s="444">
        <v>0</v>
      </c>
      <c r="AQ15" s="444">
        <v>0</v>
      </c>
      <c r="AR15" s="444">
        <v>31.830188679245236</v>
      </c>
      <c r="AS15" s="444">
        <v>0</v>
      </c>
      <c r="AT15" s="444">
        <v>66.691823899370902</v>
      </c>
      <c r="AU15" s="444">
        <v>0</v>
      </c>
      <c r="AV15" s="444">
        <v>0</v>
      </c>
      <c r="AW15" s="444">
        <v>0</v>
      </c>
      <c r="AX15" s="444">
        <v>0</v>
      </c>
      <c r="AY15" s="444">
        <v>0</v>
      </c>
      <c r="AZ15" s="444">
        <v>0</v>
      </c>
      <c r="BA15" s="444">
        <v>0</v>
      </c>
      <c r="BB15" s="444">
        <v>0</v>
      </c>
      <c r="BC15" s="444">
        <v>0.72199999999999998</v>
      </c>
      <c r="BD15" s="444">
        <v>0</v>
      </c>
      <c r="BE15" s="444">
        <v>0</v>
      </c>
      <c r="BF15" s="444">
        <v>0</v>
      </c>
      <c r="BG15" s="444">
        <v>0</v>
      </c>
      <c r="BH15" s="458">
        <v>1</v>
      </c>
      <c r="BI15" s="444">
        <v>0</v>
      </c>
      <c r="BJ15" s="444">
        <v>1</v>
      </c>
      <c r="BK15" s="444">
        <v>0</v>
      </c>
    </row>
    <row r="16" spans="1:63" ht="14.5" x14ac:dyDescent="0.35">
      <c r="A16" s="454">
        <v>112745</v>
      </c>
      <c r="B16" s="454">
        <v>8312444</v>
      </c>
      <c r="C16" s="455" t="s">
        <v>71</v>
      </c>
      <c r="D16" s="431" t="s">
        <v>265</v>
      </c>
      <c r="E16" s="456">
        <v>0</v>
      </c>
      <c r="F16" s="457">
        <v>1</v>
      </c>
      <c r="G16" s="444">
        <v>0</v>
      </c>
      <c r="H16" s="444">
        <v>0</v>
      </c>
      <c r="I16" s="444">
        <v>3</v>
      </c>
      <c r="J16" s="444">
        <v>0</v>
      </c>
      <c r="K16" s="444">
        <v>0</v>
      </c>
      <c r="L16" s="444">
        <v>0</v>
      </c>
      <c r="M16" s="444">
        <v>159</v>
      </c>
      <c r="N16" s="444">
        <v>159</v>
      </c>
      <c r="O16" s="444">
        <v>51</v>
      </c>
      <c r="P16" s="444">
        <v>108</v>
      </c>
      <c r="Q16" s="444">
        <v>0</v>
      </c>
      <c r="R16" s="444">
        <v>0</v>
      </c>
      <c r="S16" s="444">
        <v>0</v>
      </c>
      <c r="T16" s="444">
        <v>0</v>
      </c>
      <c r="U16" s="444">
        <v>0</v>
      </c>
      <c r="V16" s="444">
        <v>0</v>
      </c>
      <c r="W16" s="444">
        <v>0</v>
      </c>
      <c r="X16" s="444">
        <v>0</v>
      </c>
      <c r="Y16" s="444">
        <v>53</v>
      </c>
      <c r="Z16" s="444">
        <v>48.999999999999872</v>
      </c>
      <c r="AA16" s="444">
        <v>48.999999999999872</v>
      </c>
      <c r="AB16" s="444">
        <v>0</v>
      </c>
      <c r="AC16" s="444">
        <v>0</v>
      </c>
      <c r="AD16" s="444">
        <v>47.999999999999972</v>
      </c>
      <c r="AE16" s="444">
        <v>55.999999999999964</v>
      </c>
      <c r="AF16" s="444">
        <v>8.9999999999999911</v>
      </c>
      <c r="AG16" s="444">
        <v>0.99999999999999856</v>
      </c>
      <c r="AH16" s="444">
        <v>14.999999999999995</v>
      </c>
      <c r="AI16" s="444">
        <v>23.999999999999986</v>
      </c>
      <c r="AJ16" s="444">
        <v>5.9999999999999885</v>
      </c>
      <c r="AK16" s="444">
        <v>0</v>
      </c>
      <c r="AL16" s="444">
        <v>0</v>
      </c>
      <c r="AM16" s="444">
        <v>0</v>
      </c>
      <c r="AN16" s="444">
        <v>0</v>
      </c>
      <c r="AO16" s="444">
        <v>0</v>
      </c>
      <c r="AP16" s="444">
        <v>0</v>
      </c>
      <c r="AQ16" s="444">
        <v>0</v>
      </c>
      <c r="AR16" s="444">
        <v>30.916666666666597</v>
      </c>
      <c r="AS16" s="444">
        <v>0</v>
      </c>
      <c r="AT16" s="444">
        <v>62.999999999999901</v>
      </c>
      <c r="AU16" s="444">
        <v>0</v>
      </c>
      <c r="AV16" s="444">
        <v>0</v>
      </c>
      <c r="AW16" s="444">
        <v>0</v>
      </c>
      <c r="AX16" s="444">
        <v>0</v>
      </c>
      <c r="AY16" s="444">
        <v>0</v>
      </c>
      <c r="AZ16" s="444">
        <v>0</v>
      </c>
      <c r="BA16" s="444">
        <v>0</v>
      </c>
      <c r="BB16" s="444">
        <v>0</v>
      </c>
      <c r="BC16" s="444">
        <v>0.92800000000000005</v>
      </c>
      <c r="BD16" s="444">
        <v>0</v>
      </c>
      <c r="BE16" s="444">
        <v>0</v>
      </c>
      <c r="BF16" s="444">
        <v>0</v>
      </c>
      <c r="BG16" s="444">
        <v>0</v>
      </c>
      <c r="BH16" s="458">
        <v>1</v>
      </c>
      <c r="BI16" s="444">
        <v>0</v>
      </c>
      <c r="BJ16" s="444">
        <v>1</v>
      </c>
      <c r="BK16" s="444">
        <v>0</v>
      </c>
    </row>
    <row r="17" spans="1:63" ht="14.5" x14ac:dyDescent="0.35">
      <c r="A17" s="454">
        <v>112749</v>
      </c>
      <c r="B17" s="454">
        <v>8312449</v>
      </c>
      <c r="C17" s="455" t="s">
        <v>72</v>
      </c>
      <c r="D17" s="431" t="s">
        <v>265</v>
      </c>
      <c r="E17" s="456">
        <v>0</v>
      </c>
      <c r="F17" s="457">
        <v>1</v>
      </c>
      <c r="G17" s="444">
        <v>0</v>
      </c>
      <c r="H17" s="444">
        <v>0</v>
      </c>
      <c r="I17" s="444">
        <v>3</v>
      </c>
      <c r="J17" s="444">
        <v>0</v>
      </c>
      <c r="K17" s="444">
        <v>0</v>
      </c>
      <c r="L17" s="444">
        <v>0</v>
      </c>
      <c r="M17" s="444">
        <v>242</v>
      </c>
      <c r="N17" s="444">
        <v>242</v>
      </c>
      <c r="O17" s="444">
        <v>86</v>
      </c>
      <c r="P17" s="444">
        <v>156</v>
      </c>
      <c r="Q17" s="444">
        <v>0</v>
      </c>
      <c r="R17" s="444">
        <v>0</v>
      </c>
      <c r="S17" s="444">
        <v>0</v>
      </c>
      <c r="T17" s="444">
        <v>0</v>
      </c>
      <c r="U17" s="444">
        <v>0</v>
      </c>
      <c r="V17" s="444">
        <v>0</v>
      </c>
      <c r="W17" s="444">
        <v>0</v>
      </c>
      <c r="X17" s="444">
        <v>0</v>
      </c>
      <c r="Y17" s="444">
        <v>80.666666666666671</v>
      </c>
      <c r="Z17" s="444">
        <v>62.999999999999829</v>
      </c>
      <c r="AA17" s="444">
        <v>63.999999999999908</v>
      </c>
      <c r="AB17" s="444">
        <v>0</v>
      </c>
      <c r="AC17" s="444">
        <v>0</v>
      </c>
      <c r="AD17" s="444">
        <v>162.99999999999989</v>
      </c>
      <c r="AE17" s="444">
        <v>42.999999999999964</v>
      </c>
      <c r="AF17" s="444">
        <v>18</v>
      </c>
      <c r="AG17" s="444">
        <v>3.9999999999999978</v>
      </c>
      <c r="AH17" s="444">
        <v>0</v>
      </c>
      <c r="AI17" s="444">
        <v>9</v>
      </c>
      <c r="AJ17" s="444">
        <v>4.9999999999999787</v>
      </c>
      <c r="AK17" s="444">
        <v>0</v>
      </c>
      <c r="AL17" s="444">
        <v>0</v>
      </c>
      <c r="AM17" s="444">
        <v>0</v>
      </c>
      <c r="AN17" s="444">
        <v>0</v>
      </c>
      <c r="AO17" s="444">
        <v>0</v>
      </c>
      <c r="AP17" s="444">
        <v>0</v>
      </c>
      <c r="AQ17" s="444">
        <v>0</v>
      </c>
      <c r="AR17" s="444">
        <v>35.679487179487076</v>
      </c>
      <c r="AS17" s="444">
        <v>0</v>
      </c>
      <c r="AT17" s="444">
        <v>71.176470588235162</v>
      </c>
      <c r="AU17" s="444">
        <v>0</v>
      </c>
      <c r="AV17" s="444">
        <v>0</v>
      </c>
      <c r="AW17" s="444">
        <v>0</v>
      </c>
      <c r="AX17" s="444">
        <v>0</v>
      </c>
      <c r="AY17" s="444">
        <v>0</v>
      </c>
      <c r="AZ17" s="444">
        <v>0</v>
      </c>
      <c r="BA17" s="444">
        <v>0</v>
      </c>
      <c r="BB17" s="444">
        <v>0</v>
      </c>
      <c r="BC17" s="444">
        <v>0.66500000000000004</v>
      </c>
      <c r="BD17" s="444">
        <v>0</v>
      </c>
      <c r="BE17" s="444">
        <v>0</v>
      </c>
      <c r="BF17" s="444">
        <v>0</v>
      </c>
      <c r="BG17" s="444">
        <v>0</v>
      </c>
      <c r="BH17" s="458">
        <v>1</v>
      </c>
      <c r="BI17" s="444">
        <v>0</v>
      </c>
      <c r="BJ17" s="444">
        <v>1</v>
      </c>
      <c r="BK17" s="444">
        <v>0</v>
      </c>
    </row>
    <row r="18" spans="1:63" ht="14.5" x14ac:dyDescent="0.35">
      <c r="A18" s="454">
        <v>112752</v>
      </c>
      <c r="B18" s="454">
        <v>8312452</v>
      </c>
      <c r="C18" s="455" t="s">
        <v>73</v>
      </c>
      <c r="D18" s="431" t="s">
        <v>265</v>
      </c>
      <c r="E18" s="456">
        <v>0</v>
      </c>
      <c r="F18" s="457">
        <v>1</v>
      </c>
      <c r="G18" s="444">
        <v>0</v>
      </c>
      <c r="H18" s="444">
        <v>0</v>
      </c>
      <c r="I18" s="444">
        <v>7</v>
      </c>
      <c r="J18" s="444">
        <v>0</v>
      </c>
      <c r="K18" s="444">
        <v>0</v>
      </c>
      <c r="L18" s="444">
        <v>0</v>
      </c>
      <c r="M18" s="444">
        <v>139</v>
      </c>
      <c r="N18" s="444">
        <v>139</v>
      </c>
      <c r="O18" s="444">
        <v>15</v>
      </c>
      <c r="P18" s="444">
        <v>124</v>
      </c>
      <c r="Q18" s="444">
        <v>0</v>
      </c>
      <c r="R18" s="444">
        <v>0</v>
      </c>
      <c r="S18" s="444">
        <v>0</v>
      </c>
      <c r="T18" s="444">
        <v>0</v>
      </c>
      <c r="U18" s="444">
        <v>0</v>
      </c>
      <c r="V18" s="444">
        <v>0</v>
      </c>
      <c r="W18" s="444">
        <v>0</v>
      </c>
      <c r="X18" s="444">
        <v>0</v>
      </c>
      <c r="Y18" s="444">
        <v>19.857142857142858</v>
      </c>
      <c r="Z18" s="444">
        <v>81.999999999999886</v>
      </c>
      <c r="AA18" s="444">
        <v>82.999999999999943</v>
      </c>
      <c r="AB18" s="444">
        <v>0</v>
      </c>
      <c r="AC18" s="444">
        <v>0</v>
      </c>
      <c r="AD18" s="444">
        <v>49.99999999999995</v>
      </c>
      <c r="AE18" s="444">
        <v>9.9999999999999893</v>
      </c>
      <c r="AF18" s="444">
        <v>12.999999999999998</v>
      </c>
      <c r="AG18" s="444">
        <v>4.9999999999999947</v>
      </c>
      <c r="AH18" s="444">
        <v>50.999999999999879</v>
      </c>
      <c r="AI18" s="444">
        <v>0</v>
      </c>
      <c r="AJ18" s="444">
        <v>9.9999999999999893</v>
      </c>
      <c r="AK18" s="444">
        <v>0</v>
      </c>
      <c r="AL18" s="444">
        <v>0</v>
      </c>
      <c r="AM18" s="444">
        <v>0</v>
      </c>
      <c r="AN18" s="444">
        <v>0</v>
      </c>
      <c r="AO18" s="444">
        <v>0</v>
      </c>
      <c r="AP18" s="444">
        <v>0</v>
      </c>
      <c r="AQ18" s="444">
        <v>0</v>
      </c>
      <c r="AR18" s="444">
        <v>23.540322580645103</v>
      </c>
      <c r="AS18" s="444">
        <v>0</v>
      </c>
      <c r="AT18" s="444">
        <v>44.964162924054051</v>
      </c>
      <c r="AU18" s="444">
        <v>0</v>
      </c>
      <c r="AV18" s="444">
        <v>0</v>
      </c>
      <c r="AW18" s="444">
        <v>0</v>
      </c>
      <c r="AX18" s="444">
        <v>0</v>
      </c>
      <c r="AY18" s="444">
        <v>0</v>
      </c>
      <c r="AZ18" s="444">
        <v>0</v>
      </c>
      <c r="BA18" s="444">
        <v>0</v>
      </c>
      <c r="BB18" s="444">
        <v>0</v>
      </c>
      <c r="BC18" s="444">
        <v>0.66</v>
      </c>
      <c r="BD18" s="444">
        <v>0</v>
      </c>
      <c r="BE18" s="444">
        <v>0.14419225634178889</v>
      </c>
      <c r="BF18" s="444">
        <v>0</v>
      </c>
      <c r="BG18" s="444">
        <v>0</v>
      </c>
      <c r="BH18" s="458">
        <v>1</v>
      </c>
      <c r="BI18" s="444">
        <v>0</v>
      </c>
      <c r="BJ18" s="444">
        <v>1</v>
      </c>
      <c r="BK18" s="444">
        <v>0</v>
      </c>
    </row>
    <row r="19" spans="1:63" ht="14.5" x14ac:dyDescent="0.35">
      <c r="A19" s="454">
        <v>112756</v>
      </c>
      <c r="B19" s="454">
        <v>8312457</v>
      </c>
      <c r="C19" s="455" t="s">
        <v>74</v>
      </c>
      <c r="D19" s="431" t="s">
        <v>265</v>
      </c>
      <c r="E19" s="456">
        <v>0</v>
      </c>
      <c r="F19" s="457">
        <v>1</v>
      </c>
      <c r="G19" s="444">
        <v>0</v>
      </c>
      <c r="H19" s="444">
        <v>0</v>
      </c>
      <c r="I19" s="444">
        <v>4</v>
      </c>
      <c r="J19" s="444">
        <v>0</v>
      </c>
      <c r="K19" s="444">
        <v>0</v>
      </c>
      <c r="L19" s="444">
        <v>0</v>
      </c>
      <c r="M19" s="444">
        <v>358</v>
      </c>
      <c r="N19" s="444">
        <v>358</v>
      </c>
      <c r="O19" s="444">
        <v>0</v>
      </c>
      <c r="P19" s="444">
        <v>358</v>
      </c>
      <c r="Q19" s="444">
        <v>0</v>
      </c>
      <c r="R19" s="444">
        <v>0</v>
      </c>
      <c r="S19" s="444">
        <v>0</v>
      </c>
      <c r="T19" s="444">
        <v>0</v>
      </c>
      <c r="U19" s="444">
        <v>0</v>
      </c>
      <c r="V19" s="444">
        <v>0</v>
      </c>
      <c r="W19" s="444">
        <v>0</v>
      </c>
      <c r="X19" s="444">
        <v>0</v>
      </c>
      <c r="Y19" s="444">
        <v>89.5</v>
      </c>
      <c r="Z19" s="444">
        <v>115.99999999999997</v>
      </c>
      <c r="AA19" s="444">
        <v>119.99999999999966</v>
      </c>
      <c r="AB19" s="444">
        <v>0</v>
      </c>
      <c r="AC19" s="444">
        <v>0</v>
      </c>
      <c r="AD19" s="444">
        <v>270.99999999999972</v>
      </c>
      <c r="AE19" s="444">
        <v>0.99999999999999833</v>
      </c>
      <c r="AF19" s="444">
        <v>57.999999999999808</v>
      </c>
      <c r="AG19" s="444">
        <v>4</v>
      </c>
      <c r="AH19" s="444">
        <v>0.99999999999999833</v>
      </c>
      <c r="AI19" s="444">
        <v>22.999999999999989</v>
      </c>
      <c r="AJ19" s="444">
        <v>0</v>
      </c>
      <c r="AK19" s="444">
        <v>0</v>
      </c>
      <c r="AL19" s="444">
        <v>0</v>
      </c>
      <c r="AM19" s="444">
        <v>0</v>
      </c>
      <c r="AN19" s="444">
        <v>0</v>
      </c>
      <c r="AO19" s="444">
        <v>0</v>
      </c>
      <c r="AP19" s="444">
        <v>0</v>
      </c>
      <c r="AQ19" s="444">
        <v>0</v>
      </c>
      <c r="AR19" s="444">
        <v>53.999999999999773</v>
      </c>
      <c r="AS19" s="444">
        <v>0</v>
      </c>
      <c r="AT19" s="444">
        <v>145.22638366622505</v>
      </c>
      <c r="AU19" s="444">
        <v>0</v>
      </c>
      <c r="AV19" s="444">
        <v>0</v>
      </c>
      <c r="AW19" s="444">
        <v>0</v>
      </c>
      <c r="AX19" s="444">
        <v>0</v>
      </c>
      <c r="AY19" s="444">
        <v>0</v>
      </c>
      <c r="AZ19" s="444">
        <v>0</v>
      </c>
      <c r="BA19" s="444">
        <v>0</v>
      </c>
      <c r="BB19" s="444">
        <v>0</v>
      </c>
      <c r="BC19" s="444">
        <v>0.73199999999999998</v>
      </c>
      <c r="BD19" s="444">
        <v>0</v>
      </c>
      <c r="BE19" s="444">
        <v>0</v>
      </c>
      <c r="BF19" s="444">
        <v>0</v>
      </c>
      <c r="BG19" s="444">
        <v>0</v>
      </c>
      <c r="BH19" s="458">
        <v>1</v>
      </c>
      <c r="BI19" s="444">
        <v>0</v>
      </c>
      <c r="BJ19" s="444">
        <v>1</v>
      </c>
      <c r="BK19" s="444">
        <v>0</v>
      </c>
    </row>
    <row r="20" spans="1:63" ht="14.5" x14ac:dyDescent="0.35">
      <c r="A20" s="454">
        <v>112757</v>
      </c>
      <c r="B20" s="454">
        <v>8312458</v>
      </c>
      <c r="C20" s="455" t="s">
        <v>75</v>
      </c>
      <c r="D20" s="431" t="s">
        <v>265</v>
      </c>
      <c r="E20" s="456">
        <v>0</v>
      </c>
      <c r="F20" s="457">
        <v>1</v>
      </c>
      <c r="G20" s="444">
        <v>0</v>
      </c>
      <c r="H20" s="444">
        <v>0</v>
      </c>
      <c r="I20" s="444">
        <v>3</v>
      </c>
      <c r="J20" s="444">
        <v>0</v>
      </c>
      <c r="K20" s="444">
        <v>0</v>
      </c>
      <c r="L20" s="444">
        <v>0</v>
      </c>
      <c r="M20" s="444">
        <v>231</v>
      </c>
      <c r="N20" s="444">
        <v>231</v>
      </c>
      <c r="O20" s="444">
        <v>68</v>
      </c>
      <c r="P20" s="444">
        <v>163</v>
      </c>
      <c r="Q20" s="444">
        <v>0</v>
      </c>
      <c r="R20" s="444">
        <v>0</v>
      </c>
      <c r="S20" s="444">
        <v>0</v>
      </c>
      <c r="T20" s="444">
        <v>0</v>
      </c>
      <c r="U20" s="444">
        <v>0</v>
      </c>
      <c r="V20" s="444">
        <v>0</v>
      </c>
      <c r="W20" s="444">
        <v>0</v>
      </c>
      <c r="X20" s="444">
        <v>0</v>
      </c>
      <c r="Y20" s="444">
        <v>77</v>
      </c>
      <c r="Z20" s="444">
        <v>51.999999999999979</v>
      </c>
      <c r="AA20" s="444">
        <v>51.999999999999979</v>
      </c>
      <c r="AB20" s="444">
        <v>0</v>
      </c>
      <c r="AC20" s="444">
        <v>0</v>
      </c>
      <c r="AD20" s="444">
        <v>158.68695652173903</v>
      </c>
      <c r="AE20" s="444">
        <v>2.0086956521739121</v>
      </c>
      <c r="AF20" s="444">
        <v>47.204347826086838</v>
      </c>
      <c r="AG20" s="444">
        <v>7.0304347826086842</v>
      </c>
      <c r="AH20" s="444">
        <v>5.0217391304347805</v>
      </c>
      <c r="AI20" s="444">
        <v>11.047826086956512</v>
      </c>
      <c r="AJ20" s="444">
        <v>0</v>
      </c>
      <c r="AK20" s="444">
        <v>0</v>
      </c>
      <c r="AL20" s="444">
        <v>0</v>
      </c>
      <c r="AM20" s="444">
        <v>0</v>
      </c>
      <c r="AN20" s="444">
        <v>0</v>
      </c>
      <c r="AO20" s="444">
        <v>0</v>
      </c>
      <c r="AP20" s="444">
        <v>0</v>
      </c>
      <c r="AQ20" s="444">
        <v>0</v>
      </c>
      <c r="AR20" s="444">
        <v>148.80368098159502</v>
      </c>
      <c r="AS20" s="444">
        <v>0</v>
      </c>
      <c r="AT20" s="444">
        <v>96.130434782608603</v>
      </c>
      <c r="AU20" s="444">
        <v>0</v>
      </c>
      <c r="AV20" s="444">
        <v>0</v>
      </c>
      <c r="AW20" s="444">
        <v>0</v>
      </c>
      <c r="AX20" s="444">
        <v>0</v>
      </c>
      <c r="AY20" s="444">
        <v>0</v>
      </c>
      <c r="AZ20" s="444">
        <v>0</v>
      </c>
      <c r="BA20" s="444">
        <v>0</v>
      </c>
      <c r="BB20" s="444">
        <v>0</v>
      </c>
      <c r="BC20" s="444">
        <v>0.67900000000000005</v>
      </c>
      <c r="BD20" s="444">
        <v>0</v>
      </c>
      <c r="BE20" s="444">
        <v>0</v>
      </c>
      <c r="BF20" s="444">
        <v>0</v>
      </c>
      <c r="BG20" s="444">
        <v>0</v>
      </c>
      <c r="BH20" s="458">
        <v>1</v>
      </c>
      <c r="BI20" s="444">
        <v>0</v>
      </c>
      <c r="BJ20" s="444">
        <v>1</v>
      </c>
      <c r="BK20" s="444">
        <v>0</v>
      </c>
    </row>
    <row r="21" spans="1:63" ht="14.5" x14ac:dyDescent="0.35">
      <c r="A21" s="454">
        <v>112758</v>
      </c>
      <c r="B21" s="454">
        <v>8312459</v>
      </c>
      <c r="C21" s="455" t="s">
        <v>76</v>
      </c>
      <c r="D21" s="431" t="s">
        <v>265</v>
      </c>
      <c r="E21" s="456">
        <v>0</v>
      </c>
      <c r="F21" s="457">
        <v>1</v>
      </c>
      <c r="G21" s="444">
        <v>0</v>
      </c>
      <c r="H21" s="444">
        <v>0</v>
      </c>
      <c r="I21" s="444">
        <v>7</v>
      </c>
      <c r="J21" s="444">
        <v>0</v>
      </c>
      <c r="K21" s="444">
        <v>0</v>
      </c>
      <c r="L21" s="444">
        <v>0</v>
      </c>
      <c r="M21" s="444">
        <v>358</v>
      </c>
      <c r="N21" s="444">
        <v>358</v>
      </c>
      <c r="O21" s="444">
        <v>48</v>
      </c>
      <c r="P21" s="444">
        <v>310</v>
      </c>
      <c r="Q21" s="444">
        <v>0</v>
      </c>
      <c r="R21" s="444">
        <v>0</v>
      </c>
      <c r="S21" s="444">
        <v>0</v>
      </c>
      <c r="T21" s="444">
        <v>0</v>
      </c>
      <c r="U21" s="444">
        <v>0</v>
      </c>
      <c r="V21" s="444">
        <v>0</v>
      </c>
      <c r="W21" s="444">
        <v>0</v>
      </c>
      <c r="X21" s="444">
        <v>0</v>
      </c>
      <c r="Y21" s="444">
        <v>51.142857142857146</v>
      </c>
      <c r="Z21" s="444">
        <v>32.999999999999972</v>
      </c>
      <c r="AA21" s="444">
        <v>37.999999999999986</v>
      </c>
      <c r="AB21" s="444">
        <v>0</v>
      </c>
      <c r="AC21" s="444">
        <v>0</v>
      </c>
      <c r="AD21" s="444">
        <v>335.99999999999983</v>
      </c>
      <c r="AE21" s="444">
        <v>2.9999999999999982</v>
      </c>
      <c r="AF21" s="444">
        <v>12.999999999999973</v>
      </c>
      <c r="AG21" s="444">
        <v>0.99999999999999833</v>
      </c>
      <c r="AH21" s="444">
        <v>2.9999999999999982</v>
      </c>
      <c r="AI21" s="444">
        <v>2</v>
      </c>
      <c r="AJ21" s="444">
        <v>0</v>
      </c>
      <c r="AK21" s="444">
        <v>0</v>
      </c>
      <c r="AL21" s="444">
        <v>0</v>
      </c>
      <c r="AM21" s="444">
        <v>0</v>
      </c>
      <c r="AN21" s="444">
        <v>0</v>
      </c>
      <c r="AO21" s="444">
        <v>0</v>
      </c>
      <c r="AP21" s="444">
        <v>0</v>
      </c>
      <c r="AQ21" s="444">
        <v>0</v>
      </c>
      <c r="AR21" s="444">
        <v>15.110389610389609</v>
      </c>
      <c r="AS21" s="444">
        <v>0</v>
      </c>
      <c r="AT21" s="444">
        <v>108.39380811635716</v>
      </c>
      <c r="AU21" s="444">
        <v>0</v>
      </c>
      <c r="AV21" s="444">
        <v>0</v>
      </c>
      <c r="AW21" s="444">
        <v>0</v>
      </c>
      <c r="AX21" s="444">
        <v>0</v>
      </c>
      <c r="AY21" s="444">
        <v>0</v>
      </c>
      <c r="AZ21" s="444">
        <v>0</v>
      </c>
      <c r="BA21" s="444">
        <v>0</v>
      </c>
      <c r="BB21" s="444">
        <v>0</v>
      </c>
      <c r="BC21" s="444">
        <v>0.89400000000000002</v>
      </c>
      <c r="BD21" s="444">
        <v>0</v>
      </c>
      <c r="BE21" s="444">
        <v>0</v>
      </c>
      <c r="BF21" s="444">
        <v>0</v>
      </c>
      <c r="BG21" s="444">
        <v>0</v>
      </c>
      <c r="BH21" s="458">
        <v>1</v>
      </c>
      <c r="BI21" s="444">
        <v>0</v>
      </c>
      <c r="BJ21" s="444">
        <v>1</v>
      </c>
      <c r="BK21" s="444">
        <v>0</v>
      </c>
    </row>
    <row r="22" spans="1:63" ht="14.5" x14ac:dyDescent="0.35">
      <c r="A22" s="454">
        <v>112759</v>
      </c>
      <c r="B22" s="454">
        <v>8312462</v>
      </c>
      <c r="C22" s="455" t="s">
        <v>77</v>
      </c>
      <c r="D22" s="431" t="s">
        <v>265</v>
      </c>
      <c r="E22" s="456">
        <v>0</v>
      </c>
      <c r="F22" s="457">
        <v>1</v>
      </c>
      <c r="G22" s="444">
        <v>0</v>
      </c>
      <c r="H22" s="444">
        <v>0</v>
      </c>
      <c r="I22" s="444">
        <v>3</v>
      </c>
      <c r="J22" s="444">
        <v>0</v>
      </c>
      <c r="K22" s="444">
        <v>0</v>
      </c>
      <c r="L22" s="444">
        <v>0</v>
      </c>
      <c r="M22" s="444">
        <v>226</v>
      </c>
      <c r="N22" s="444">
        <v>226</v>
      </c>
      <c r="O22" s="444">
        <v>75</v>
      </c>
      <c r="P22" s="444">
        <v>151</v>
      </c>
      <c r="Q22" s="444">
        <v>0</v>
      </c>
      <c r="R22" s="444">
        <v>0</v>
      </c>
      <c r="S22" s="444">
        <v>0</v>
      </c>
      <c r="T22" s="444">
        <v>0</v>
      </c>
      <c r="U22" s="444">
        <v>0</v>
      </c>
      <c r="V22" s="444">
        <v>0</v>
      </c>
      <c r="W22" s="444">
        <v>0</v>
      </c>
      <c r="X22" s="444">
        <v>0</v>
      </c>
      <c r="Y22" s="444">
        <v>75.333333333333329</v>
      </c>
      <c r="Z22" s="444">
        <v>52.999999999999957</v>
      </c>
      <c r="AA22" s="444">
        <v>52.999999999999957</v>
      </c>
      <c r="AB22" s="444">
        <v>0</v>
      </c>
      <c r="AC22" s="444">
        <v>0</v>
      </c>
      <c r="AD22" s="444">
        <v>189.84</v>
      </c>
      <c r="AE22" s="444">
        <v>17.075555555555542</v>
      </c>
      <c r="AF22" s="444">
        <v>8.0355555555555434</v>
      </c>
      <c r="AG22" s="444">
        <v>1.0044444444444434</v>
      </c>
      <c r="AH22" s="444">
        <v>5.0222222222222168</v>
      </c>
      <c r="AI22" s="444">
        <v>2.0088888888888867</v>
      </c>
      <c r="AJ22" s="444">
        <v>3.0133333333333256</v>
      </c>
      <c r="AK22" s="444">
        <v>0</v>
      </c>
      <c r="AL22" s="444">
        <v>0</v>
      </c>
      <c r="AM22" s="444">
        <v>0</v>
      </c>
      <c r="AN22" s="444">
        <v>0</v>
      </c>
      <c r="AO22" s="444">
        <v>0</v>
      </c>
      <c r="AP22" s="444">
        <v>0</v>
      </c>
      <c r="AQ22" s="444">
        <v>0</v>
      </c>
      <c r="AR22" s="444">
        <v>22.450331125827802</v>
      </c>
      <c r="AS22" s="444">
        <v>0</v>
      </c>
      <c r="AT22" s="444">
        <v>70.721088435374099</v>
      </c>
      <c r="AU22" s="444">
        <v>0</v>
      </c>
      <c r="AV22" s="444">
        <v>0</v>
      </c>
      <c r="AW22" s="444">
        <v>0</v>
      </c>
      <c r="AX22" s="444">
        <v>0</v>
      </c>
      <c r="AY22" s="444">
        <v>0</v>
      </c>
      <c r="AZ22" s="444">
        <v>0</v>
      </c>
      <c r="BA22" s="444">
        <v>0</v>
      </c>
      <c r="BB22" s="444">
        <v>0</v>
      </c>
      <c r="BC22" s="444">
        <v>0.86699999999999999</v>
      </c>
      <c r="BD22" s="444">
        <v>0</v>
      </c>
      <c r="BE22" s="444">
        <v>0</v>
      </c>
      <c r="BF22" s="444">
        <v>0</v>
      </c>
      <c r="BG22" s="444">
        <v>0</v>
      </c>
      <c r="BH22" s="458">
        <v>1</v>
      </c>
      <c r="BI22" s="444">
        <v>0</v>
      </c>
      <c r="BJ22" s="444">
        <v>1</v>
      </c>
      <c r="BK22" s="444">
        <v>0</v>
      </c>
    </row>
    <row r="23" spans="1:63" ht="14.5" x14ac:dyDescent="0.35">
      <c r="A23" s="454">
        <v>112765</v>
      </c>
      <c r="B23" s="454">
        <v>8312469</v>
      </c>
      <c r="C23" s="455" t="s">
        <v>78</v>
      </c>
      <c r="D23" s="431" t="s">
        <v>265</v>
      </c>
      <c r="E23" s="456">
        <v>0</v>
      </c>
      <c r="F23" s="457">
        <v>1</v>
      </c>
      <c r="G23" s="444">
        <v>0</v>
      </c>
      <c r="H23" s="444">
        <v>0</v>
      </c>
      <c r="I23" s="444">
        <v>7</v>
      </c>
      <c r="J23" s="444">
        <v>0</v>
      </c>
      <c r="K23" s="444">
        <v>0</v>
      </c>
      <c r="L23" s="444">
        <v>0</v>
      </c>
      <c r="M23" s="444">
        <v>421</v>
      </c>
      <c r="N23" s="444">
        <v>421</v>
      </c>
      <c r="O23" s="444">
        <v>60</v>
      </c>
      <c r="P23" s="444">
        <v>361</v>
      </c>
      <c r="Q23" s="444">
        <v>0</v>
      </c>
      <c r="R23" s="444">
        <v>0</v>
      </c>
      <c r="S23" s="444">
        <v>0</v>
      </c>
      <c r="T23" s="444">
        <v>0</v>
      </c>
      <c r="U23" s="444">
        <v>0</v>
      </c>
      <c r="V23" s="444">
        <v>0</v>
      </c>
      <c r="W23" s="444">
        <v>0</v>
      </c>
      <c r="X23" s="444">
        <v>0</v>
      </c>
      <c r="Y23" s="444">
        <v>60.142857142857146</v>
      </c>
      <c r="Z23" s="444">
        <v>21.999999999999993</v>
      </c>
      <c r="AA23" s="444">
        <v>21.999999999999993</v>
      </c>
      <c r="AB23" s="444">
        <v>0</v>
      </c>
      <c r="AC23" s="444">
        <v>0</v>
      </c>
      <c r="AD23" s="444">
        <v>403.99999999999966</v>
      </c>
      <c r="AE23" s="444">
        <v>14</v>
      </c>
      <c r="AF23" s="444">
        <v>0.99999999999999822</v>
      </c>
      <c r="AG23" s="444">
        <v>0</v>
      </c>
      <c r="AH23" s="444">
        <v>1.9999999999999964</v>
      </c>
      <c r="AI23" s="444">
        <v>0</v>
      </c>
      <c r="AJ23" s="444">
        <v>0</v>
      </c>
      <c r="AK23" s="444">
        <v>0</v>
      </c>
      <c r="AL23" s="444">
        <v>0</v>
      </c>
      <c r="AM23" s="444">
        <v>0</v>
      </c>
      <c r="AN23" s="444">
        <v>0</v>
      </c>
      <c r="AO23" s="444">
        <v>0</v>
      </c>
      <c r="AP23" s="444">
        <v>0</v>
      </c>
      <c r="AQ23" s="444">
        <v>0</v>
      </c>
      <c r="AR23" s="444">
        <v>14.352272727272688</v>
      </c>
      <c r="AS23" s="444">
        <v>0</v>
      </c>
      <c r="AT23" s="444">
        <v>131.73482270946442</v>
      </c>
      <c r="AU23" s="444">
        <v>0</v>
      </c>
      <c r="AV23" s="444">
        <v>0</v>
      </c>
      <c r="AW23" s="444">
        <v>0</v>
      </c>
      <c r="AX23" s="444">
        <v>0</v>
      </c>
      <c r="AY23" s="444">
        <v>0</v>
      </c>
      <c r="AZ23" s="444">
        <v>0</v>
      </c>
      <c r="BA23" s="444">
        <v>0</v>
      </c>
      <c r="BB23" s="444">
        <v>0</v>
      </c>
      <c r="BC23" s="444">
        <v>0.93899999999999995</v>
      </c>
      <c r="BD23" s="444">
        <v>0</v>
      </c>
      <c r="BE23" s="444">
        <v>0</v>
      </c>
      <c r="BF23" s="444">
        <v>0</v>
      </c>
      <c r="BG23" s="444">
        <v>0</v>
      </c>
      <c r="BH23" s="458">
        <v>1</v>
      </c>
      <c r="BI23" s="444">
        <v>0</v>
      </c>
      <c r="BJ23" s="444">
        <v>1</v>
      </c>
      <c r="BK23" s="444">
        <v>0</v>
      </c>
    </row>
    <row r="24" spans="1:63" ht="14.5" x14ac:dyDescent="0.35">
      <c r="A24" s="454">
        <v>112767</v>
      </c>
      <c r="B24" s="454">
        <v>8312473</v>
      </c>
      <c r="C24" s="455" t="s">
        <v>79</v>
      </c>
      <c r="D24" s="431" t="s">
        <v>265</v>
      </c>
      <c r="E24" s="456">
        <v>0</v>
      </c>
      <c r="F24" s="457">
        <v>1</v>
      </c>
      <c r="G24" s="444">
        <v>0</v>
      </c>
      <c r="H24" s="444">
        <v>0</v>
      </c>
      <c r="I24" s="444">
        <v>3</v>
      </c>
      <c r="J24" s="444">
        <v>0</v>
      </c>
      <c r="K24" s="444">
        <v>0</v>
      </c>
      <c r="L24" s="444">
        <v>0</v>
      </c>
      <c r="M24" s="444">
        <v>242</v>
      </c>
      <c r="N24" s="444">
        <v>242</v>
      </c>
      <c r="O24" s="444">
        <v>89</v>
      </c>
      <c r="P24" s="444">
        <v>153</v>
      </c>
      <c r="Q24" s="444">
        <v>0</v>
      </c>
      <c r="R24" s="444">
        <v>0</v>
      </c>
      <c r="S24" s="444">
        <v>0</v>
      </c>
      <c r="T24" s="444">
        <v>0</v>
      </c>
      <c r="U24" s="444">
        <v>0</v>
      </c>
      <c r="V24" s="444">
        <v>0</v>
      </c>
      <c r="W24" s="444">
        <v>0</v>
      </c>
      <c r="X24" s="444">
        <v>0</v>
      </c>
      <c r="Y24" s="444">
        <v>80.666666666666671</v>
      </c>
      <c r="Z24" s="444">
        <v>78.999999999999872</v>
      </c>
      <c r="AA24" s="444">
        <v>81.999999999999858</v>
      </c>
      <c r="AB24" s="444">
        <v>0</v>
      </c>
      <c r="AC24" s="444">
        <v>0</v>
      </c>
      <c r="AD24" s="444">
        <v>102.9999999999998</v>
      </c>
      <c r="AE24" s="444">
        <v>11.999999999999991</v>
      </c>
      <c r="AF24" s="444">
        <v>48.99999999999995</v>
      </c>
      <c r="AG24" s="444">
        <v>0</v>
      </c>
      <c r="AH24" s="444">
        <v>16.999999999999993</v>
      </c>
      <c r="AI24" s="444">
        <v>24.999999999999773</v>
      </c>
      <c r="AJ24" s="444">
        <v>35.999999999999908</v>
      </c>
      <c r="AK24" s="444">
        <v>0</v>
      </c>
      <c r="AL24" s="444">
        <v>0</v>
      </c>
      <c r="AM24" s="444">
        <v>0</v>
      </c>
      <c r="AN24" s="444">
        <v>0</v>
      </c>
      <c r="AO24" s="444">
        <v>0</v>
      </c>
      <c r="AP24" s="444">
        <v>0</v>
      </c>
      <c r="AQ24" s="444">
        <v>0</v>
      </c>
      <c r="AR24" s="444">
        <v>20.562091503267972</v>
      </c>
      <c r="AS24" s="444">
        <v>0</v>
      </c>
      <c r="AT24" s="444">
        <v>130.55263157894728</v>
      </c>
      <c r="AU24" s="444">
        <v>0</v>
      </c>
      <c r="AV24" s="444">
        <v>0</v>
      </c>
      <c r="AW24" s="444">
        <v>0</v>
      </c>
      <c r="AX24" s="444">
        <v>0</v>
      </c>
      <c r="AY24" s="444">
        <v>0</v>
      </c>
      <c r="AZ24" s="444">
        <v>0</v>
      </c>
      <c r="BA24" s="444">
        <v>0</v>
      </c>
      <c r="BB24" s="444">
        <v>0</v>
      </c>
      <c r="BC24" s="444">
        <v>0.70699999999999996</v>
      </c>
      <c r="BD24" s="444">
        <v>0</v>
      </c>
      <c r="BE24" s="444">
        <v>0</v>
      </c>
      <c r="BF24" s="444">
        <v>0</v>
      </c>
      <c r="BG24" s="444">
        <v>0</v>
      </c>
      <c r="BH24" s="458">
        <v>1</v>
      </c>
      <c r="BI24" s="444">
        <v>0</v>
      </c>
      <c r="BJ24" s="444">
        <v>1</v>
      </c>
      <c r="BK24" s="444">
        <v>0</v>
      </c>
    </row>
    <row r="25" spans="1:63" ht="14.5" x14ac:dyDescent="0.35">
      <c r="A25" s="454">
        <v>112770</v>
      </c>
      <c r="B25" s="454">
        <v>8312505</v>
      </c>
      <c r="C25" s="455" t="s">
        <v>80</v>
      </c>
      <c r="D25" s="431" t="s">
        <v>265</v>
      </c>
      <c r="E25" s="456">
        <v>0</v>
      </c>
      <c r="F25" s="457">
        <v>1</v>
      </c>
      <c r="G25" s="444">
        <v>0</v>
      </c>
      <c r="H25" s="444">
        <v>0</v>
      </c>
      <c r="I25" s="444">
        <v>7</v>
      </c>
      <c r="J25" s="444">
        <v>0</v>
      </c>
      <c r="K25" s="444">
        <v>0</v>
      </c>
      <c r="L25" s="444">
        <v>0</v>
      </c>
      <c r="M25" s="444">
        <v>567</v>
      </c>
      <c r="N25" s="444">
        <v>567</v>
      </c>
      <c r="O25" s="444">
        <v>73</v>
      </c>
      <c r="P25" s="444">
        <v>494</v>
      </c>
      <c r="Q25" s="444">
        <v>0</v>
      </c>
      <c r="R25" s="444">
        <v>0</v>
      </c>
      <c r="S25" s="444">
        <v>0</v>
      </c>
      <c r="T25" s="444">
        <v>0</v>
      </c>
      <c r="U25" s="444">
        <v>0</v>
      </c>
      <c r="V25" s="444">
        <v>0</v>
      </c>
      <c r="W25" s="444">
        <v>0</v>
      </c>
      <c r="X25" s="444">
        <v>0</v>
      </c>
      <c r="Y25" s="444">
        <v>81</v>
      </c>
      <c r="Z25" s="444">
        <v>274.9999999999996</v>
      </c>
      <c r="AA25" s="444">
        <v>276.99999999999949</v>
      </c>
      <c r="AB25" s="444">
        <v>0</v>
      </c>
      <c r="AC25" s="444">
        <v>0</v>
      </c>
      <c r="AD25" s="444">
        <v>242.99999999999966</v>
      </c>
      <c r="AE25" s="444">
        <v>7.9999999999999574</v>
      </c>
      <c r="AF25" s="444">
        <v>90.999999999999545</v>
      </c>
      <c r="AG25" s="444">
        <v>15.99999999999997</v>
      </c>
      <c r="AH25" s="444">
        <v>66.999999999999716</v>
      </c>
      <c r="AI25" s="444">
        <v>134.99999999999994</v>
      </c>
      <c r="AJ25" s="444">
        <v>6.9999999999999556</v>
      </c>
      <c r="AK25" s="444">
        <v>0</v>
      </c>
      <c r="AL25" s="444">
        <v>0</v>
      </c>
      <c r="AM25" s="444">
        <v>0</v>
      </c>
      <c r="AN25" s="444">
        <v>0</v>
      </c>
      <c r="AO25" s="444">
        <v>0</v>
      </c>
      <c r="AP25" s="444">
        <v>0</v>
      </c>
      <c r="AQ25" s="444">
        <v>0</v>
      </c>
      <c r="AR25" s="444">
        <v>146.91497975708464</v>
      </c>
      <c r="AS25" s="444">
        <v>0</v>
      </c>
      <c r="AT25" s="444">
        <v>235.0977119941187</v>
      </c>
      <c r="AU25" s="444">
        <v>0</v>
      </c>
      <c r="AV25" s="444">
        <v>0</v>
      </c>
      <c r="AW25" s="444">
        <v>0</v>
      </c>
      <c r="AX25" s="444">
        <v>0</v>
      </c>
      <c r="AY25" s="444">
        <v>0</v>
      </c>
      <c r="AZ25" s="444">
        <v>0</v>
      </c>
      <c r="BA25" s="444">
        <v>9.9799999999999596</v>
      </c>
      <c r="BB25" s="444">
        <v>0</v>
      </c>
      <c r="BC25" s="444">
        <v>0.499</v>
      </c>
      <c r="BD25" s="444">
        <v>0</v>
      </c>
      <c r="BE25" s="444">
        <v>0</v>
      </c>
      <c r="BF25" s="444">
        <v>0</v>
      </c>
      <c r="BG25" s="444">
        <v>0</v>
      </c>
      <c r="BH25" s="458">
        <v>1</v>
      </c>
      <c r="BI25" s="444">
        <v>0</v>
      </c>
      <c r="BJ25" s="444">
        <v>1</v>
      </c>
      <c r="BK25" s="444">
        <v>0</v>
      </c>
    </row>
    <row r="26" spans="1:63" ht="14.5" x14ac:dyDescent="0.35">
      <c r="A26" s="454">
        <v>112790</v>
      </c>
      <c r="B26" s="454">
        <v>8312627</v>
      </c>
      <c r="C26" s="455" t="s">
        <v>81</v>
      </c>
      <c r="D26" s="431" t="s">
        <v>265</v>
      </c>
      <c r="E26" s="456">
        <v>0</v>
      </c>
      <c r="F26" s="457">
        <v>1</v>
      </c>
      <c r="G26" s="444">
        <v>0</v>
      </c>
      <c r="H26" s="444">
        <v>0</v>
      </c>
      <c r="I26" s="444">
        <v>7</v>
      </c>
      <c r="J26" s="444">
        <v>0</v>
      </c>
      <c r="K26" s="444">
        <v>0</v>
      </c>
      <c r="L26" s="444">
        <v>0</v>
      </c>
      <c r="M26" s="444">
        <v>408</v>
      </c>
      <c r="N26" s="444">
        <v>408</v>
      </c>
      <c r="O26" s="444">
        <v>60</v>
      </c>
      <c r="P26" s="444">
        <v>348</v>
      </c>
      <c r="Q26" s="444">
        <v>0</v>
      </c>
      <c r="R26" s="444">
        <v>0</v>
      </c>
      <c r="S26" s="444">
        <v>0</v>
      </c>
      <c r="T26" s="444">
        <v>0</v>
      </c>
      <c r="U26" s="444">
        <v>0</v>
      </c>
      <c r="V26" s="444">
        <v>0</v>
      </c>
      <c r="W26" s="444">
        <v>0</v>
      </c>
      <c r="X26" s="444">
        <v>0</v>
      </c>
      <c r="Y26" s="444">
        <v>58.285714285714285</v>
      </c>
      <c r="Z26" s="444">
        <v>52.999999999999702</v>
      </c>
      <c r="AA26" s="444">
        <v>52.999999999999702</v>
      </c>
      <c r="AB26" s="444">
        <v>0</v>
      </c>
      <c r="AC26" s="444">
        <v>0</v>
      </c>
      <c r="AD26" s="444">
        <v>379.99999999999966</v>
      </c>
      <c r="AE26" s="444">
        <v>13.999999999999968</v>
      </c>
      <c r="AF26" s="444">
        <v>8.9999999999999734</v>
      </c>
      <c r="AG26" s="444">
        <v>0</v>
      </c>
      <c r="AH26" s="444">
        <v>4</v>
      </c>
      <c r="AI26" s="444">
        <v>0</v>
      </c>
      <c r="AJ26" s="444">
        <v>0.99999999999999889</v>
      </c>
      <c r="AK26" s="444">
        <v>0</v>
      </c>
      <c r="AL26" s="444">
        <v>0</v>
      </c>
      <c r="AM26" s="444">
        <v>0</v>
      </c>
      <c r="AN26" s="444">
        <v>0</v>
      </c>
      <c r="AO26" s="444">
        <v>0</v>
      </c>
      <c r="AP26" s="444">
        <v>0</v>
      </c>
      <c r="AQ26" s="444">
        <v>0</v>
      </c>
      <c r="AR26" s="444">
        <v>55.103448275861744</v>
      </c>
      <c r="AS26" s="444">
        <v>0</v>
      </c>
      <c r="AT26" s="444">
        <v>135.74387152066814</v>
      </c>
      <c r="AU26" s="444">
        <v>0</v>
      </c>
      <c r="AV26" s="444">
        <v>0</v>
      </c>
      <c r="AW26" s="444">
        <v>0</v>
      </c>
      <c r="AX26" s="444">
        <v>0</v>
      </c>
      <c r="AY26" s="444">
        <v>0</v>
      </c>
      <c r="AZ26" s="444">
        <v>0</v>
      </c>
      <c r="BA26" s="444">
        <v>0</v>
      </c>
      <c r="BB26" s="444">
        <v>0</v>
      </c>
      <c r="BC26" s="444">
        <v>0.59699999999999998</v>
      </c>
      <c r="BD26" s="444">
        <v>0</v>
      </c>
      <c r="BE26" s="444">
        <v>0</v>
      </c>
      <c r="BF26" s="444">
        <v>0</v>
      </c>
      <c r="BG26" s="444">
        <v>0</v>
      </c>
      <c r="BH26" s="458">
        <v>1</v>
      </c>
      <c r="BI26" s="444">
        <v>0</v>
      </c>
      <c r="BJ26" s="444">
        <v>1</v>
      </c>
      <c r="BK26" s="444">
        <v>0</v>
      </c>
    </row>
    <row r="27" spans="1:63" ht="14.5" x14ac:dyDescent="0.35">
      <c r="A27" s="454">
        <v>112915</v>
      </c>
      <c r="B27" s="454">
        <v>8313526</v>
      </c>
      <c r="C27" s="455" t="s">
        <v>82</v>
      </c>
      <c r="D27" s="431" t="s">
        <v>265</v>
      </c>
      <c r="E27" s="456">
        <v>0</v>
      </c>
      <c r="F27" s="457">
        <v>1</v>
      </c>
      <c r="G27" s="444">
        <v>0</v>
      </c>
      <c r="H27" s="444">
        <v>0</v>
      </c>
      <c r="I27" s="444">
        <v>3</v>
      </c>
      <c r="J27" s="444">
        <v>0</v>
      </c>
      <c r="K27" s="444">
        <v>0</v>
      </c>
      <c r="L27" s="444">
        <v>0</v>
      </c>
      <c r="M27" s="444">
        <v>89</v>
      </c>
      <c r="N27" s="444">
        <v>89</v>
      </c>
      <c r="O27" s="444">
        <v>30</v>
      </c>
      <c r="P27" s="444">
        <v>59</v>
      </c>
      <c r="Q27" s="444">
        <v>0</v>
      </c>
      <c r="R27" s="444">
        <v>0</v>
      </c>
      <c r="S27" s="444">
        <v>0</v>
      </c>
      <c r="T27" s="444">
        <v>0</v>
      </c>
      <c r="U27" s="444">
        <v>0</v>
      </c>
      <c r="V27" s="444">
        <v>0</v>
      </c>
      <c r="W27" s="444">
        <v>0</v>
      </c>
      <c r="X27" s="444">
        <v>0</v>
      </c>
      <c r="Y27" s="444">
        <v>29.666666666666668</v>
      </c>
      <c r="Z27" s="444">
        <v>19.999999999999954</v>
      </c>
      <c r="AA27" s="444">
        <v>20.999999999999975</v>
      </c>
      <c r="AB27" s="444">
        <v>0</v>
      </c>
      <c r="AC27" s="444">
        <v>0</v>
      </c>
      <c r="AD27" s="444">
        <v>2.9999999999999973</v>
      </c>
      <c r="AE27" s="444">
        <v>0</v>
      </c>
      <c r="AF27" s="444">
        <v>46.999999999999957</v>
      </c>
      <c r="AG27" s="444">
        <v>9.9999999999999325</v>
      </c>
      <c r="AH27" s="444">
        <v>22.999999999999929</v>
      </c>
      <c r="AI27" s="444">
        <v>0</v>
      </c>
      <c r="AJ27" s="444">
        <v>5.9999999999999947</v>
      </c>
      <c r="AK27" s="444">
        <v>0</v>
      </c>
      <c r="AL27" s="444">
        <v>0</v>
      </c>
      <c r="AM27" s="444">
        <v>0</v>
      </c>
      <c r="AN27" s="444">
        <v>0</v>
      </c>
      <c r="AO27" s="444">
        <v>0</v>
      </c>
      <c r="AP27" s="444">
        <v>0</v>
      </c>
      <c r="AQ27" s="444">
        <v>0</v>
      </c>
      <c r="AR27" s="444">
        <v>73.91525423728811</v>
      </c>
      <c r="AS27" s="444">
        <v>0</v>
      </c>
      <c r="AT27" s="444">
        <v>38.142857142857089</v>
      </c>
      <c r="AU27" s="444">
        <v>0</v>
      </c>
      <c r="AV27" s="444">
        <v>0</v>
      </c>
      <c r="AW27" s="444">
        <v>0</v>
      </c>
      <c r="AX27" s="444">
        <v>0</v>
      </c>
      <c r="AY27" s="444">
        <v>0</v>
      </c>
      <c r="AZ27" s="444">
        <v>0</v>
      </c>
      <c r="BA27" s="444">
        <v>0.65999999999999504</v>
      </c>
      <c r="BB27" s="444">
        <v>0</v>
      </c>
      <c r="BC27" s="444">
        <v>0.43099999999999999</v>
      </c>
      <c r="BD27" s="444">
        <v>0</v>
      </c>
      <c r="BE27" s="444">
        <v>0</v>
      </c>
      <c r="BF27" s="444">
        <v>0</v>
      </c>
      <c r="BG27" s="444">
        <v>0</v>
      </c>
      <c r="BH27" s="458">
        <v>1</v>
      </c>
      <c r="BI27" s="444">
        <v>0</v>
      </c>
      <c r="BJ27" s="444">
        <v>1</v>
      </c>
      <c r="BK27" s="444">
        <v>0</v>
      </c>
    </row>
    <row r="28" spans="1:63" ht="14.5" x14ac:dyDescent="0.35">
      <c r="A28" s="454">
        <v>112983</v>
      </c>
      <c r="B28" s="454">
        <v>8315209</v>
      </c>
      <c r="C28" s="455" t="s">
        <v>83</v>
      </c>
      <c r="D28" s="431" t="s">
        <v>265</v>
      </c>
      <c r="E28" s="456">
        <v>0</v>
      </c>
      <c r="F28" s="457">
        <v>1</v>
      </c>
      <c r="G28" s="444">
        <v>0</v>
      </c>
      <c r="H28" s="444">
        <v>0</v>
      </c>
      <c r="I28" s="444">
        <v>4</v>
      </c>
      <c r="J28" s="444">
        <v>0</v>
      </c>
      <c r="K28" s="444">
        <v>0</v>
      </c>
      <c r="L28" s="444">
        <v>0</v>
      </c>
      <c r="M28" s="444">
        <v>269</v>
      </c>
      <c r="N28" s="444">
        <v>269</v>
      </c>
      <c r="O28" s="444">
        <v>0</v>
      </c>
      <c r="P28" s="444">
        <v>269</v>
      </c>
      <c r="Q28" s="444">
        <v>0</v>
      </c>
      <c r="R28" s="444">
        <v>0</v>
      </c>
      <c r="S28" s="444">
        <v>0</v>
      </c>
      <c r="T28" s="444">
        <v>0</v>
      </c>
      <c r="U28" s="444">
        <v>0</v>
      </c>
      <c r="V28" s="444">
        <v>0</v>
      </c>
      <c r="W28" s="444">
        <v>0</v>
      </c>
      <c r="X28" s="444">
        <v>0</v>
      </c>
      <c r="Y28" s="444">
        <v>67.25</v>
      </c>
      <c r="Z28" s="444">
        <v>123.9999999999999</v>
      </c>
      <c r="AA28" s="444">
        <v>126.99999999999982</v>
      </c>
      <c r="AB28" s="444">
        <v>0</v>
      </c>
      <c r="AC28" s="444">
        <v>0</v>
      </c>
      <c r="AD28" s="444">
        <v>82.999999999999744</v>
      </c>
      <c r="AE28" s="444">
        <v>90.999999999999787</v>
      </c>
      <c r="AF28" s="444">
        <v>13.999999999999998</v>
      </c>
      <c r="AG28" s="444">
        <v>2.9999999999999938</v>
      </c>
      <c r="AH28" s="444">
        <v>21.999999999999982</v>
      </c>
      <c r="AI28" s="444">
        <v>39.999999999999922</v>
      </c>
      <c r="AJ28" s="444">
        <v>15.999999999999993</v>
      </c>
      <c r="AK28" s="444">
        <v>0</v>
      </c>
      <c r="AL28" s="444">
        <v>0</v>
      </c>
      <c r="AM28" s="444">
        <v>0</v>
      </c>
      <c r="AN28" s="444">
        <v>0</v>
      </c>
      <c r="AO28" s="444">
        <v>0</v>
      </c>
      <c r="AP28" s="444">
        <v>0</v>
      </c>
      <c r="AQ28" s="444">
        <v>0</v>
      </c>
      <c r="AR28" s="444">
        <v>17.999999999999989</v>
      </c>
      <c r="AS28" s="444">
        <v>0</v>
      </c>
      <c r="AT28" s="444">
        <v>101.79747598062396</v>
      </c>
      <c r="AU28" s="444">
        <v>0</v>
      </c>
      <c r="AV28" s="444">
        <v>0</v>
      </c>
      <c r="AW28" s="444">
        <v>0</v>
      </c>
      <c r="AX28" s="444">
        <v>0</v>
      </c>
      <c r="AY28" s="444">
        <v>0</v>
      </c>
      <c r="AZ28" s="444">
        <v>0</v>
      </c>
      <c r="BA28" s="444">
        <v>0</v>
      </c>
      <c r="BB28" s="444">
        <v>0</v>
      </c>
      <c r="BC28" s="444">
        <v>0.83599999999999997</v>
      </c>
      <c r="BD28" s="444">
        <v>0</v>
      </c>
      <c r="BE28" s="444">
        <v>0</v>
      </c>
      <c r="BF28" s="444">
        <v>0</v>
      </c>
      <c r="BG28" s="444">
        <v>0</v>
      </c>
      <c r="BH28" s="458">
        <v>1</v>
      </c>
      <c r="BI28" s="444">
        <v>0</v>
      </c>
      <c r="BJ28" s="444">
        <v>1</v>
      </c>
      <c r="BK28" s="444">
        <v>0</v>
      </c>
    </row>
    <row r="29" spans="1:63" ht="14.5" x14ac:dyDescent="0.35">
      <c r="A29" s="454">
        <v>112956</v>
      </c>
      <c r="B29" s="454">
        <v>8314182</v>
      </c>
      <c r="C29" s="455" t="s">
        <v>84</v>
      </c>
      <c r="D29" s="431" t="s">
        <v>197</v>
      </c>
      <c r="E29" s="456">
        <v>0</v>
      </c>
      <c r="F29" s="457">
        <v>1</v>
      </c>
      <c r="G29" s="444">
        <v>0</v>
      </c>
      <c r="H29" s="444">
        <v>0</v>
      </c>
      <c r="I29" s="444">
        <v>0</v>
      </c>
      <c r="J29" s="444">
        <v>5</v>
      </c>
      <c r="K29" s="444">
        <v>3</v>
      </c>
      <c r="L29" s="444">
        <v>2</v>
      </c>
      <c r="M29" s="444">
        <v>1458</v>
      </c>
      <c r="N29" s="444">
        <v>0</v>
      </c>
      <c r="O29" s="444">
        <v>0</v>
      </c>
      <c r="P29" s="444">
        <v>0</v>
      </c>
      <c r="Q29" s="444">
        <v>1458</v>
      </c>
      <c r="R29" s="444">
        <v>879</v>
      </c>
      <c r="S29" s="444">
        <v>579</v>
      </c>
      <c r="T29" s="444">
        <v>293</v>
      </c>
      <c r="U29" s="444">
        <v>291</v>
      </c>
      <c r="V29" s="444">
        <v>295</v>
      </c>
      <c r="W29" s="444">
        <v>290</v>
      </c>
      <c r="X29" s="444">
        <v>289</v>
      </c>
      <c r="Y29" s="444">
        <v>291.60000000000002</v>
      </c>
      <c r="Z29" s="444">
        <v>0</v>
      </c>
      <c r="AA29" s="444">
        <v>0</v>
      </c>
      <c r="AB29" s="444">
        <v>238.99999999999861</v>
      </c>
      <c r="AC29" s="444">
        <v>296.99999999999898</v>
      </c>
      <c r="AD29" s="444">
        <v>0</v>
      </c>
      <c r="AE29" s="444">
        <v>0</v>
      </c>
      <c r="AF29" s="444">
        <v>0</v>
      </c>
      <c r="AG29" s="444">
        <v>0</v>
      </c>
      <c r="AH29" s="444">
        <v>0</v>
      </c>
      <c r="AI29" s="444">
        <v>0</v>
      </c>
      <c r="AJ29" s="444">
        <v>0</v>
      </c>
      <c r="AK29" s="444">
        <v>1240.8510638297873</v>
      </c>
      <c r="AL29" s="444">
        <v>123.08442004118038</v>
      </c>
      <c r="AM29" s="444">
        <v>53.036376115305416</v>
      </c>
      <c r="AN29" s="444">
        <v>27.018531228551808</v>
      </c>
      <c r="AO29" s="444">
        <v>7.004804392587495</v>
      </c>
      <c r="AP29" s="444">
        <v>7.004804392587495</v>
      </c>
      <c r="AQ29" s="444">
        <v>0</v>
      </c>
      <c r="AR29" s="444">
        <v>0</v>
      </c>
      <c r="AS29" s="444">
        <v>32.04395604395593</v>
      </c>
      <c r="AT29" s="444">
        <v>0</v>
      </c>
      <c r="AU29" s="444">
        <v>97.325174825174784</v>
      </c>
      <c r="AV29" s="444">
        <v>86.48601398601393</v>
      </c>
      <c r="AW29" s="444">
        <v>99.020979020978828</v>
      </c>
      <c r="AX29" s="444">
        <v>101.66051660516595</v>
      </c>
      <c r="AY29" s="444">
        <v>101.30996309963089</v>
      </c>
      <c r="AZ29" s="444">
        <v>274.41329408496478</v>
      </c>
      <c r="BA29" s="444">
        <v>0</v>
      </c>
      <c r="BB29" s="444">
        <v>0</v>
      </c>
      <c r="BC29" s="444">
        <v>0</v>
      </c>
      <c r="BD29" s="444">
        <v>2.09</v>
      </c>
      <c r="BE29" s="444">
        <v>0</v>
      </c>
      <c r="BF29" s="444">
        <v>0</v>
      </c>
      <c r="BG29" s="444">
        <v>0</v>
      </c>
      <c r="BH29" s="458">
        <v>0</v>
      </c>
      <c r="BI29" s="444">
        <v>1</v>
      </c>
      <c r="BJ29" s="444">
        <v>0</v>
      </c>
      <c r="BK29" s="444">
        <v>1</v>
      </c>
    </row>
    <row r="30" spans="1:63" ht="14.5" x14ac:dyDescent="0.35">
      <c r="A30" s="454">
        <v>112991</v>
      </c>
      <c r="B30" s="454">
        <v>8315406</v>
      </c>
      <c r="C30" s="455" t="s">
        <v>85</v>
      </c>
      <c r="D30" s="431" t="s">
        <v>197</v>
      </c>
      <c r="E30" s="456">
        <v>0</v>
      </c>
      <c r="F30" s="457">
        <v>1</v>
      </c>
      <c r="G30" s="444">
        <v>0</v>
      </c>
      <c r="H30" s="444">
        <v>0</v>
      </c>
      <c r="I30" s="444">
        <v>0</v>
      </c>
      <c r="J30" s="444">
        <v>5</v>
      </c>
      <c r="K30" s="444">
        <v>3</v>
      </c>
      <c r="L30" s="444">
        <v>2</v>
      </c>
      <c r="M30" s="444">
        <v>1306.5</v>
      </c>
      <c r="N30" s="444">
        <v>0</v>
      </c>
      <c r="O30" s="444">
        <v>0</v>
      </c>
      <c r="P30" s="444">
        <v>0</v>
      </c>
      <c r="Q30" s="444">
        <v>1306.5</v>
      </c>
      <c r="R30" s="444">
        <v>829.91666666666663</v>
      </c>
      <c r="S30" s="444">
        <v>476.58333333333337</v>
      </c>
      <c r="T30" s="444">
        <v>282.08333333333331</v>
      </c>
      <c r="U30" s="444">
        <v>277.5</v>
      </c>
      <c r="V30" s="444">
        <v>270.33333333333337</v>
      </c>
      <c r="W30" s="444">
        <v>254.58333333333334</v>
      </c>
      <c r="X30" s="444">
        <v>222</v>
      </c>
      <c r="Y30" s="444">
        <v>261.3</v>
      </c>
      <c r="Z30" s="444">
        <v>0</v>
      </c>
      <c r="AA30" s="444">
        <v>0</v>
      </c>
      <c r="AB30" s="444">
        <v>403.73411764705844</v>
      </c>
      <c r="AC30" s="444">
        <v>469.31529411764603</v>
      </c>
      <c r="AD30" s="444">
        <v>0</v>
      </c>
      <c r="AE30" s="444">
        <v>0</v>
      </c>
      <c r="AF30" s="444">
        <v>0</v>
      </c>
      <c r="AG30" s="444">
        <v>0</v>
      </c>
      <c r="AH30" s="444">
        <v>0</v>
      </c>
      <c r="AI30" s="444">
        <v>0</v>
      </c>
      <c r="AJ30" s="444">
        <v>0</v>
      </c>
      <c r="AK30" s="444">
        <v>676.30588235294067</v>
      </c>
      <c r="AL30" s="444">
        <v>361.72117647058792</v>
      </c>
      <c r="AM30" s="444">
        <v>69.679999999999964</v>
      </c>
      <c r="AN30" s="444">
        <v>52.26</v>
      </c>
      <c r="AO30" s="444">
        <v>81.976470588235188</v>
      </c>
      <c r="AP30" s="444">
        <v>27.667058823529288</v>
      </c>
      <c r="AQ30" s="444">
        <v>36.889411764705805</v>
      </c>
      <c r="AR30" s="444">
        <v>0</v>
      </c>
      <c r="AS30" s="444">
        <v>42.012941176470534</v>
      </c>
      <c r="AT30" s="444">
        <v>0</v>
      </c>
      <c r="AU30" s="444">
        <v>97.721726190476062</v>
      </c>
      <c r="AV30" s="444">
        <v>107.73529411764704</v>
      </c>
      <c r="AW30" s="444">
        <v>116.29433962264152</v>
      </c>
      <c r="AX30" s="444">
        <v>114.74178403755852</v>
      </c>
      <c r="AY30" s="444">
        <v>100.05633802816887</v>
      </c>
      <c r="AZ30" s="444">
        <v>302.9913952811973</v>
      </c>
      <c r="BA30" s="444">
        <v>0</v>
      </c>
      <c r="BB30" s="444">
        <v>0</v>
      </c>
      <c r="BC30" s="444">
        <v>0</v>
      </c>
      <c r="BD30" s="444">
        <v>2.431</v>
      </c>
      <c r="BE30" s="444">
        <v>0</v>
      </c>
      <c r="BF30" s="444">
        <v>5.1666666666666194E-2</v>
      </c>
      <c r="BG30" s="444">
        <v>0</v>
      </c>
      <c r="BH30" s="458">
        <v>0</v>
      </c>
      <c r="BI30" s="444">
        <v>1</v>
      </c>
      <c r="BJ30" s="444">
        <v>0</v>
      </c>
      <c r="BK30" s="444">
        <v>1</v>
      </c>
    </row>
    <row r="31" spans="1:63" ht="14.5" x14ac:dyDescent="0.35">
      <c r="A31" s="454">
        <v>112951</v>
      </c>
      <c r="B31" s="454">
        <v>8314177</v>
      </c>
      <c r="C31" s="455" t="s">
        <v>86</v>
      </c>
      <c r="D31" s="431" t="s">
        <v>766</v>
      </c>
      <c r="E31" s="456">
        <v>0</v>
      </c>
      <c r="F31" s="457">
        <v>1</v>
      </c>
      <c r="G31" s="444">
        <v>0</v>
      </c>
      <c r="H31" s="444">
        <v>0</v>
      </c>
      <c r="I31" s="444">
        <v>7</v>
      </c>
      <c r="J31" s="444">
        <v>5</v>
      </c>
      <c r="K31" s="444">
        <v>3</v>
      </c>
      <c r="L31" s="444">
        <v>2</v>
      </c>
      <c r="M31" s="444">
        <v>1396</v>
      </c>
      <c r="N31" s="444">
        <v>385</v>
      </c>
      <c r="O31" s="444">
        <v>43</v>
      </c>
      <c r="P31" s="444">
        <v>342</v>
      </c>
      <c r="Q31" s="444">
        <v>1011</v>
      </c>
      <c r="R31" s="444">
        <v>609</v>
      </c>
      <c r="S31" s="444">
        <v>402</v>
      </c>
      <c r="T31" s="444">
        <v>224</v>
      </c>
      <c r="U31" s="444">
        <v>185</v>
      </c>
      <c r="V31" s="444">
        <v>200</v>
      </c>
      <c r="W31" s="444">
        <v>198</v>
      </c>
      <c r="X31" s="444">
        <v>204</v>
      </c>
      <c r="Y31" s="444">
        <v>116.33333333333333</v>
      </c>
      <c r="Z31" s="444">
        <v>119.99999999999974</v>
      </c>
      <c r="AA31" s="444">
        <v>124.99999999999974</v>
      </c>
      <c r="AB31" s="444">
        <v>533.99999999999943</v>
      </c>
      <c r="AC31" s="444">
        <v>589</v>
      </c>
      <c r="AD31" s="444">
        <v>59.99999999999968</v>
      </c>
      <c r="AE31" s="444">
        <v>20.999999999999982</v>
      </c>
      <c r="AF31" s="444">
        <v>106.99999999999964</v>
      </c>
      <c r="AG31" s="444">
        <v>67.999999999999758</v>
      </c>
      <c r="AH31" s="444">
        <v>77</v>
      </c>
      <c r="AI31" s="444">
        <v>42.999999999999737</v>
      </c>
      <c r="AJ31" s="444">
        <v>8.9999999999999716</v>
      </c>
      <c r="AK31" s="444">
        <v>111.1099009900981</v>
      </c>
      <c r="AL31" s="444">
        <v>96.095049504950438</v>
      </c>
      <c r="AM31" s="444">
        <v>181.17920792079187</v>
      </c>
      <c r="AN31" s="444">
        <v>301.29801980198016</v>
      </c>
      <c r="AO31" s="444">
        <v>225.22277227722694</v>
      </c>
      <c r="AP31" s="444">
        <v>67.066336633663326</v>
      </c>
      <c r="AQ31" s="444">
        <v>29.028712871287116</v>
      </c>
      <c r="AR31" s="444">
        <v>122.70467836257285</v>
      </c>
      <c r="AS31" s="444">
        <v>140.99999999999912</v>
      </c>
      <c r="AT31" s="444">
        <v>181.27837818156874</v>
      </c>
      <c r="AU31" s="444">
        <v>153.32038834951439</v>
      </c>
      <c r="AV31" s="444">
        <v>116.72619047619031</v>
      </c>
      <c r="AW31" s="444">
        <v>135.71428571428561</v>
      </c>
      <c r="AX31" s="444">
        <v>138.4511278195487</v>
      </c>
      <c r="AY31" s="444">
        <v>142.64661654135321</v>
      </c>
      <c r="AZ31" s="444">
        <v>388.66917016050468</v>
      </c>
      <c r="BA31" s="444">
        <v>42.069270833333206</v>
      </c>
      <c r="BB31" s="444">
        <v>52.451881188117916</v>
      </c>
      <c r="BC31" s="444">
        <v>0</v>
      </c>
      <c r="BD31" s="444">
        <v>1.3169999999999999</v>
      </c>
      <c r="BE31" s="444">
        <v>0</v>
      </c>
      <c r="BF31" s="444">
        <v>0</v>
      </c>
      <c r="BG31" s="444">
        <v>0</v>
      </c>
      <c r="BH31" s="458">
        <v>0.27578796561604585</v>
      </c>
      <c r="BI31" s="444">
        <v>0.72421203438395421</v>
      </c>
      <c r="BJ31" s="444">
        <v>0.2832618025751073</v>
      </c>
      <c r="BK31" s="444">
        <v>0.71673819742489275</v>
      </c>
    </row>
    <row r="32" spans="1:63" ht="14.5" x14ac:dyDescent="0.35">
      <c r="A32" s="454">
        <v>146579</v>
      </c>
      <c r="B32" s="454">
        <v>8312002</v>
      </c>
      <c r="C32" s="455" t="s">
        <v>87</v>
      </c>
      <c r="D32" s="431" t="s">
        <v>265</v>
      </c>
      <c r="E32" s="456" t="s">
        <v>767</v>
      </c>
      <c r="F32" s="457">
        <v>1</v>
      </c>
      <c r="G32" s="444">
        <v>0</v>
      </c>
      <c r="H32" s="444">
        <v>0</v>
      </c>
      <c r="I32" s="444">
        <v>7</v>
      </c>
      <c r="J32" s="444">
        <v>0</v>
      </c>
      <c r="K32" s="444">
        <v>0</v>
      </c>
      <c r="L32" s="444">
        <v>0</v>
      </c>
      <c r="M32" s="444">
        <v>428</v>
      </c>
      <c r="N32" s="444">
        <v>428</v>
      </c>
      <c r="O32" s="444">
        <v>60</v>
      </c>
      <c r="P32" s="444">
        <v>368</v>
      </c>
      <c r="Q32" s="444">
        <v>0</v>
      </c>
      <c r="R32" s="444">
        <v>0</v>
      </c>
      <c r="S32" s="444">
        <v>0</v>
      </c>
      <c r="T32" s="444">
        <v>0</v>
      </c>
      <c r="U32" s="444">
        <v>0</v>
      </c>
      <c r="V32" s="444">
        <v>0</v>
      </c>
      <c r="W32" s="444">
        <v>0</v>
      </c>
      <c r="X32" s="444">
        <v>0</v>
      </c>
      <c r="Y32" s="444">
        <v>61.142857142857146</v>
      </c>
      <c r="Z32" s="444">
        <v>34</v>
      </c>
      <c r="AA32" s="444">
        <v>35.999999999999972</v>
      </c>
      <c r="AB32" s="444">
        <v>0</v>
      </c>
      <c r="AC32" s="444">
        <v>0</v>
      </c>
      <c r="AD32" s="444">
        <v>338.79156908665067</v>
      </c>
      <c r="AE32" s="444">
        <v>79.185011709601639</v>
      </c>
      <c r="AF32" s="444">
        <v>6.0140515222482183</v>
      </c>
      <c r="AG32" s="444">
        <v>3.0070257611241216</v>
      </c>
      <c r="AH32" s="444">
        <v>1.0023419203747073</v>
      </c>
      <c r="AI32" s="444">
        <v>0</v>
      </c>
      <c r="AJ32" s="444">
        <v>0</v>
      </c>
      <c r="AK32" s="444">
        <v>0</v>
      </c>
      <c r="AL32" s="444">
        <v>0</v>
      </c>
      <c r="AM32" s="444">
        <v>0</v>
      </c>
      <c r="AN32" s="444">
        <v>0</v>
      </c>
      <c r="AO32" s="444">
        <v>0</v>
      </c>
      <c r="AP32" s="444">
        <v>0</v>
      </c>
      <c r="AQ32" s="444">
        <v>0</v>
      </c>
      <c r="AR32" s="444">
        <v>39.75956284153002</v>
      </c>
      <c r="AS32" s="444">
        <v>0</v>
      </c>
      <c r="AT32" s="444">
        <v>101.93392885353725</v>
      </c>
      <c r="AU32" s="444">
        <v>0</v>
      </c>
      <c r="AV32" s="444">
        <v>0</v>
      </c>
      <c r="AW32" s="444">
        <v>0</v>
      </c>
      <c r="AX32" s="444">
        <v>0</v>
      </c>
      <c r="AY32" s="444">
        <v>0</v>
      </c>
      <c r="AZ32" s="444">
        <v>0</v>
      </c>
      <c r="BA32" s="444">
        <v>0</v>
      </c>
      <c r="BB32" s="444">
        <v>0</v>
      </c>
      <c r="BC32" s="444">
        <v>0.92100000000000004</v>
      </c>
      <c r="BD32" s="444">
        <v>0</v>
      </c>
      <c r="BE32" s="444">
        <v>0</v>
      </c>
      <c r="BF32" s="444">
        <v>0</v>
      </c>
      <c r="BG32" s="444">
        <v>0</v>
      </c>
      <c r="BH32" s="458">
        <v>1</v>
      </c>
      <c r="BI32" s="444">
        <v>0</v>
      </c>
      <c r="BJ32" s="444">
        <v>1</v>
      </c>
      <c r="BK32" s="444">
        <v>0</v>
      </c>
    </row>
    <row r="33" spans="1:63" ht="14.5" x14ac:dyDescent="0.35">
      <c r="A33" s="454">
        <v>146877</v>
      </c>
      <c r="B33" s="454">
        <v>8312004</v>
      </c>
      <c r="C33" s="455" t="s">
        <v>88</v>
      </c>
      <c r="D33" s="431" t="s">
        <v>265</v>
      </c>
      <c r="E33" s="456" t="s">
        <v>767</v>
      </c>
      <c r="F33" s="457">
        <v>1</v>
      </c>
      <c r="G33" s="444">
        <v>0</v>
      </c>
      <c r="H33" s="444">
        <v>0</v>
      </c>
      <c r="I33" s="444">
        <v>7</v>
      </c>
      <c r="J33" s="444">
        <v>0</v>
      </c>
      <c r="K33" s="444">
        <v>0</v>
      </c>
      <c r="L33" s="444">
        <v>0</v>
      </c>
      <c r="M33" s="444">
        <v>210</v>
      </c>
      <c r="N33" s="444">
        <v>210</v>
      </c>
      <c r="O33" s="444">
        <v>23</v>
      </c>
      <c r="P33" s="444">
        <v>187</v>
      </c>
      <c r="Q33" s="444">
        <v>0</v>
      </c>
      <c r="R33" s="444">
        <v>0</v>
      </c>
      <c r="S33" s="444">
        <v>0</v>
      </c>
      <c r="T33" s="444">
        <v>0</v>
      </c>
      <c r="U33" s="444">
        <v>0</v>
      </c>
      <c r="V33" s="444">
        <v>0</v>
      </c>
      <c r="W33" s="444">
        <v>0</v>
      </c>
      <c r="X33" s="444">
        <v>0</v>
      </c>
      <c r="Y33" s="444">
        <v>30</v>
      </c>
      <c r="Z33" s="444">
        <v>113.99999999999983</v>
      </c>
      <c r="AA33" s="444">
        <v>114.99999999999987</v>
      </c>
      <c r="AB33" s="444">
        <v>0</v>
      </c>
      <c r="AC33" s="444">
        <v>0</v>
      </c>
      <c r="AD33" s="444">
        <v>25.999999999999829</v>
      </c>
      <c r="AE33" s="444">
        <v>39.999999999999901</v>
      </c>
      <c r="AF33" s="444">
        <v>13.999999999999986</v>
      </c>
      <c r="AG33" s="444">
        <v>16.999999999999989</v>
      </c>
      <c r="AH33" s="444">
        <v>4.9999999999999982</v>
      </c>
      <c r="AI33" s="444">
        <v>9.9999999999999964</v>
      </c>
      <c r="AJ33" s="444">
        <v>97.999999999999858</v>
      </c>
      <c r="AK33" s="444">
        <v>0</v>
      </c>
      <c r="AL33" s="444">
        <v>0</v>
      </c>
      <c r="AM33" s="444">
        <v>0</v>
      </c>
      <c r="AN33" s="444">
        <v>0</v>
      </c>
      <c r="AO33" s="444">
        <v>0</v>
      </c>
      <c r="AP33" s="444">
        <v>0</v>
      </c>
      <c r="AQ33" s="444">
        <v>0</v>
      </c>
      <c r="AR33" s="444">
        <v>26.951871657753838</v>
      </c>
      <c r="AS33" s="444">
        <v>0</v>
      </c>
      <c r="AT33" s="444">
        <v>73.110278263403217</v>
      </c>
      <c r="AU33" s="444">
        <v>0</v>
      </c>
      <c r="AV33" s="444">
        <v>0</v>
      </c>
      <c r="AW33" s="444">
        <v>0</v>
      </c>
      <c r="AX33" s="444">
        <v>0</v>
      </c>
      <c r="AY33" s="444">
        <v>0</v>
      </c>
      <c r="AZ33" s="444">
        <v>0</v>
      </c>
      <c r="BA33" s="444">
        <v>3.4000000000000021</v>
      </c>
      <c r="BB33" s="444">
        <v>0</v>
      </c>
      <c r="BC33" s="444">
        <v>0.79200000000000004</v>
      </c>
      <c r="BD33" s="444">
        <v>0</v>
      </c>
      <c r="BE33" s="444">
        <v>0</v>
      </c>
      <c r="BF33" s="444">
        <v>0</v>
      </c>
      <c r="BG33" s="444">
        <v>0</v>
      </c>
      <c r="BH33" s="458">
        <v>1</v>
      </c>
      <c r="BI33" s="444">
        <v>0</v>
      </c>
      <c r="BJ33" s="444">
        <v>1</v>
      </c>
      <c r="BK33" s="444">
        <v>0</v>
      </c>
    </row>
    <row r="34" spans="1:63" ht="14.5" x14ac:dyDescent="0.35">
      <c r="A34" s="454">
        <v>146477</v>
      </c>
      <c r="B34" s="454">
        <v>8312006</v>
      </c>
      <c r="C34" s="455" t="s">
        <v>89</v>
      </c>
      <c r="D34" s="431" t="s">
        <v>265</v>
      </c>
      <c r="E34" s="456" t="s">
        <v>767</v>
      </c>
      <c r="F34" s="457">
        <v>1</v>
      </c>
      <c r="G34" s="444">
        <v>0</v>
      </c>
      <c r="H34" s="444">
        <v>0</v>
      </c>
      <c r="I34" s="444">
        <v>7</v>
      </c>
      <c r="J34" s="444">
        <v>0</v>
      </c>
      <c r="K34" s="444">
        <v>0</v>
      </c>
      <c r="L34" s="444">
        <v>0</v>
      </c>
      <c r="M34" s="444">
        <v>311</v>
      </c>
      <c r="N34" s="444">
        <v>311</v>
      </c>
      <c r="O34" s="444">
        <v>45</v>
      </c>
      <c r="P34" s="444">
        <v>266</v>
      </c>
      <c r="Q34" s="444">
        <v>0</v>
      </c>
      <c r="R34" s="444">
        <v>0</v>
      </c>
      <c r="S34" s="444">
        <v>0</v>
      </c>
      <c r="T34" s="444">
        <v>0</v>
      </c>
      <c r="U34" s="444">
        <v>0</v>
      </c>
      <c r="V34" s="444">
        <v>0</v>
      </c>
      <c r="W34" s="444">
        <v>0</v>
      </c>
      <c r="X34" s="444">
        <v>0</v>
      </c>
      <c r="Y34" s="444">
        <v>44.428571428571431</v>
      </c>
      <c r="Z34" s="444">
        <v>16.999999999999979</v>
      </c>
      <c r="AA34" s="444">
        <v>18.999999999999989</v>
      </c>
      <c r="AB34" s="444">
        <v>0</v>
      </c>
      <c r="AC34" s="444">
        <v>0</v>
      </c>
      <c r="AD34" s="444">
        <v>294.99999999999989</v>
      </c>
      <c r="AE34" s="444">
        <v>11.999999999999989</v>
      </c>
      <c r="AF34" s="444">
        <v>0.99999999999999811</v>
      </c>
      <c r="AG34" s="444">
        <v>0</v>
      </c>
      <c r="AH34" s="444">
        <v>0.99999999999999811</v>
      </c>
      <c r="AI34" s="444">
        <v>1.9999999999999991</v>
      </c>
      <c r="AJ34" s="444">
        <v>0</v>
      </c>
      <c r="AK34" s="444">
        <v>0</v>
      </c>
      <c r="AL34" s="444">
        <v>0</v>
      </c>
      <c r="AM34" s="444">
        <v>0</v>
      </c>
      <c r="AN34" s="444">
        <v>0</v>
      </c>
      <c r="AO34" s="444">
        <v>0</v>
      </c>
      <c r="AP34" s="444">
        <v>0</v>
      </c>
      <c r="AQ34" s="444">
        <v>0</v>
      </c>
      <c r="AR34" s="444">
        <v>61.966165413533567</v>
      </c>
      <c r="AS34" s="444">
        <v>0</v>
      </c>
      <c r="AT34" s="444">
        <v>91.38657083738218</v>
      </c>
      <c r="AU34" s="444">
        <v>0</v>
      </c>
      <c r="AV34" s="444">
        <v>0</v>
      </c>
      <c r="AW34" s="444">
        <v>0</v>
      </c>
      <c r="AX34" s="444">
        <v>0</v>
      </c>
      <c r="AY34" s="444">
        <v>0</v>
      </c>
      <c r="AZ34" s="444">
        <v>0</v>
      </c>
      <c r="BA34" s="444">
        <v>0</v>
      </c>
      <c r="BB34" s="444">
        <v>0</v>
      </c>
      <c r="BC34" s="444">
        <v>0.78900000000000003</v>
      </c>
      <c r="BD34" s="444">
        <v>0</v>
      </c>
      <c r="BE34" s="444">
        <v>0</v>
      </c>
      <c r="BF34" s="444">
        <v>0</v>
      </c>
      <c r="BG34" s="444">
        <v>0</v>
      </c>
      <c r="BH34" s="458">
        <v>1</v>
      </c>
      <c r="BI34" s="444">
        <v>0</v>
      </c>
      <c r="BJ34" s="444">
        <v>1</v>
      </c>
      <c r="BK34" s="444">
        <v>0</v>
      </c>
    </row>
    <row r="35" spans="1:63" ht="14.5" x14ac:dyDescent="0.35">
      <c r="A35" s="454">
        <v>138443</v>
      </c>
      <c r="B35" s="454">
        <v>8312007</v>
      </c>
      <c r="C35" s="455" t="s">
        <v>90</v>
      </c>
      <c r="D35" s="431" t="s">
        <v>265</v>
      </c>
      <c r="E35" s="456" t="s">
        <v>767</v>
      </c>
      <c r="F35" s="457">
        <v>1</v>
      </c>
      <c r="G35" s="444">
        <v>0</v>
      </c>
      <c r="H35" s="444">
        <v>0</v>
      </c>
      <c r="I35" s="444">
        <v>7</v>
      </c>
      <c r="J35" s="444">
        <v>0</v>
      </c>
      <c r="K35" s="444">
        <v>0</v>
      </c>
      <c r="L35" s="444">
        <v>0</v>
      </c>
      <c r="M35" s="444">
        <v>409</v>
      </c>
      <c r="N35" s="444">
        <v>409</v>
      </c>
      <c r="O35" s="444">
        <v>59</v>
      </c>
      <c r="P35" s="444">
        <v>350</v>
      </c>
      <c r="Q35" s="444">
        <v>0</v>
      </c>
      <c r="R35" s="444">
        <v>0</v>
      </c>
      <c r="S35" s="444">
        <v>0</v>
      </c>
      <c r="T35" s="444">
        <v>0</v>
      </c>
      <c r="U35" s="444">
        <v>0</v>
      </c>
      <c r="V35" s="444">
        <v>0</v>
      </c>
      <c r="W35" s="444">
        <v>0</v>
      </c>
      <c r="X35" s="444">
        <v>0</v>
      </c>
      <c r="Y35" s="444">
        <v>58.428571428571431</v>
      </c>
      <c r="Z35" s="444">
        <v>123.99999999999982</v>
      </c>
      <c r="AA35" s="444">
        <v>124.99999999999976</v>
      </c>
      <c r="AB35" s="444">
        <v>0</v>
      </c>
      <c r="AC35" s="444">
        <v>0</v>
      </c>
      <c r="AD35" s="444">
        <v>91.999999999999815</v>
      </c>
      <c r="AE35" s="444">
        <v>29.999999999999986</v>
      </c>
      <c r="AF35" s="444">
        <v>63.999999999999602</v>
      </c>
      <c r="AG35" s="444">
        <v>0.999999999999998</v>
      </c>
      <c r="AH35" s="444">
        <v>62.999999999999652</v>
      </c>
      <c r="AI35" s="444">
        <v>146.99999999999986</v>
      </c>
      <c r="AJ35" s="444">
        <v>11.999999999999961</v>
      </c>
      <c r="AK35" s="444">
        <v>0</v>
      </c>
      <c r="AL35" s="444">
        <v>0</v>
      </c>
      <c r="AM35" s="444">
        <v>0</v>
      </c>
      <c r="AN35" s="444">
        <v>0</v>
      </c>
      <c r="AO35" s="444">
        <v>0</v>
      </c>
      <c r="AP35" s="444">
        <v>0</v>
      </c>
      <c r="AQ35" s="444">
        <v>0</v>
      </c>
      <c r="AR35" s="444">
        <v>89.98</v>
      </c>
      <c r="AS35" s="444">
        <v>0</v>
      </c>
      <c r="AT35" s="444">
        <v>109.70599559212243</v>
      </c>
      <c r="AU35" s="444">
        <v>0</v>
      </c>
      <c r="AV35" s="444">
        <v>0</v>
      </c>
      <c r="AW35" s="444">
        <v>0</v>
      </c>
      <c r="AX35" s="444">
        <v>0</v>
      </c>
      <c r="AY35" s="444">
        <v>0</v>
      </c>
      <c r="AZ35" s="444">
        <v>0</v>
      </c>
      <c r="BA35" s="444">
        <v>8.4599999999999937</v>
      </c>
      <c r="BB35" s="444">
        <v>0</v>
      </c>
      <c r="BC35" s="444">
        <v>0.61</v>
      </c>
      <c r="BD35" s="444">
        <v>0</v>
      </c>
      <c r="BE35" s="444">
        <v>0</v>
      </c>
      <c r="BF35" s="444">
        <v>0</v>
      </c>
      <c r="BG35" s="444">
        <v>0</v>
      </c>
      <c r="BH35" s="458">
        <v>1</v>
      </c>
      <c r="BI35" s="444">
        <v>0</v>
      </c>
      <c r="BJ35" s="444">
        <v>1</v>
      </c>
      <c r="BK35" s="444">
        <v>0</v>
      </c>
    </row>
    <row r="36" spans="1:63" ht="14.5" x14ac:dyDescent="0.35">
      <c r="A36" s="454">
        <v>138514</v>
      </c>
      <c r="B36" s="454">
        <v>8312008</v>
      </c>
      <c r="C36" s="455" t="s">
        <v>91</v>
      </c>
      <c r="D36" s="431" t="s">
        <v>265</v>
      </c>
      <c r="E36" s="456" t="s">
        <v>767</v>
      </c>
      <c r="F36" s="457">
        <v>1</v>
      </c>
      <c r="G36" s="444">
        <v>0</v>
      </c>
      <c r="H36" s="444">
        <v>0</v>
      </c>
      <c r="I36" s="444">
        <v>7</v>
      </c>
      <c r="J36" s="444">
        <v>0</v>
      </c>
      <c r="K36" s="444">
        <v>0</v>
      </c>
      <c r="L36" s="444">
        <v>0</v>
      </c>
      <c r="M36" s="444">
        <v>180</v>
      </c>
      <c r="N36" s="444">
        <v>180</v>
      </c>
      <c r="O36" s="444">
        <v>19</v>
      </c>
      <c r="P36" s="444">
        <v>161</v>
      </c>
      <c r="Q36" s="444">
        <v>0</v>
      </c>
      <c r="R36" s="444">
        <v>0</v>
      </c>
      <c r="S36" s="444">
        <v>0</v>
      </c>
      <c r="T36" s="444">
        <v>0</v>
      </c>
      <c r="U36" s="444">
        <v>0</v>
      </c>
      <c r="V36" s="444">
        <v>0</v>
      </c>
      <c r="W36" s="444">
        <v>0</v>
      </c>
      <c r="X36" s="444">
        <v>0</v>
      </c>
      <c r="Y36" s="444">
        <v>25.714285714285715</v>
      </c>
      <c r="Z36" s="444">
        <v>36</v>
      </c>
      <c r="AA36" s="444">
        <v>37.999999999999979</v>
      </c>
      <c r="AB36" s="444">
        <v>0</v>
      </c>
      <c r="AC36" s="444">
        <v>0</v>
      </c>
      <c r="AD36" s="444">
        <v>45.257142857142782</v>
      </c>
      <c r="AE36" s="444">
        <v>30.857142857142783</v>
      </c>
      <c r="AF36" s="444">
        <v>26.742857142857037</v>
      </c>
      <c r="AG36" s="444">
        <v>0</v>
      </c>
      <c r="AH36" s="444">
        <v>39.085714285714261</v>
      </c>
      <c r="AI36" s="444">
        <v>26.742857142857037</v>
      </c>
      <c r="AJ36" s="444">
        <v>11.314285714285704</v>
      </c>
      <c r="AK36" s="444">
        <v>0</v>
      </c>
      <c r="AL36" s="444">
        <v>0</v>
      </c>
      <c r="AM36" s="444">
        <v>0</v>
      </c>
      <c r="AN36" s="444">
        <v>0</v>
      </c>
      <c r="AO36" s="444">
        <v>0</v>
      </c>
      <c r="AP36" s="444">
        <v>0</v>
      </c>
      <c r="AQ36" s="444">
        <v>0</v>
      </c>
      <c r="AR36" s="444">
        <v>31.304347826086801</v>
      </c>
      <c r="AS36" s="444">
        <v>0</v>
      </c>
      <c r="AT36" s="444">
        <v>52.676026655027762</v>
      </c>
      <c r="AU36" s="444">
        <v>0</v>
      </c>
      <c r="AV36" s="444">
        <v>0</v>
      </c>
      <c r="AW36" s="444">
        <v>0</v>
      </c>
      <c r="AX36" s="444">
        <v>0</v>
      </c>
      <c r="AY36" s="444">
        <v>0</v>
      </c>
      <c r="AZ36" s="444">
        <v>0</v>
      </c>
      <c r="BA36" s="444">
        <v>5.1999999999999833</v>
      </c>
      <c r="BB36" s="444">
        <v>0</v>
      </c>
      <c r="BC36" s="444">
        <v>0.44900000000000001</v>
      </c>
      <c r="BD36" s="444">
        <v>0</v>
      </c>
      <c r="BE36" s="444">
        <v>0</v>
      </c>
      <c r="BF36" s="444">
        <v>0</v>
      </c>
      <c r="BG36" s="444">
        <v>0</v>
      </c>
      <c r="BH36" s="458">
        <v>1</v>
      </c>
      <c r="BI36" s="444">
        <v>0</v>
      </c>
      <c r="BJ36" s="444">
        <v>1</v>
      </c>
      <c r="BK36" s="444">
        <v>0</v>
      </c>
    </row>
    <row r="37" spans="1:63" ht="14.5" x14ac:dyDescent="0.35">
      <c r="A37" s="454">
        <v>138790</v>
      </c>
      <c r="B37" s="454">
        <v>8312009</v>
      </c>
      <c r="C37" s="455" t="s">
        <v>92</v>
      </c>
      <c r="D37" s="431" t="s">
        <v>265</v>
      </c>
      <c r="E37" s="456" t="s">
        <v>767</v>
      </c>
      <c r="F37" s="457">
        <v>1</v>
      </c>
      <c r="G37" s="444">
        <v>0</v>
      </c>
      <c r="H37" s="444">
        <v>0</v>
      </c>
      <c r="I37" s="444">
        <v>7</v>
      </c>
      <c r="J37" s="444">
        <v>0</v>
      </c>
      <c r="K37" s="444">
        <v>0</v>
      </c>
      <c r="L37" s="444">
        <v>0</v>
      </c>
      <c r="M37" s="444">
        <v>208</v>
      </c>
      <c r="N37" s="444">
        <v>208</v>
      </c>
      <c r="O37" s="444">
        <v>15</v>
      </c>
      <c r="P37" s="444">
        <v>193</v>
      </c>
      <c r="Q37" s="444">
        <v>0</v>
      </c>
      <c r="R37" s="444">
        <v>0</v>
      </c>
      <c r="S37" s="444">
        <v>0</v>
      </c>
      <c r="T37" s="444">
        <v>0</v>
      </c>
      <c r="U37" s="444">
        <v>0</v>
      </c>
      <c r="V37" s="444">
        <v>0</v>
      </c>
      <c r="W37" s="444">
        <v>0</v>
      </c>
      <c r="X37" s="444">
        <v>0</v>
      </c>
      <c r="Y37" s="444">
        <v>29.714285714285715</v>
      </c>
      <c r="Z37" s="444">
        <v>128.99999999999986</v>
      </c>
      <c r="AA37" s="444">
        <v>130</v>
      </c>
      <c r="AB37" s="444">
        <v>0</v>
      </c>
      <c r="AC37" s="444">
        <v>0</v>
      </c>
      <c r="AD37" s="444">
        <v>41.999999999999808</v>
      </c>
      <c r="AE37" s="444">
        <v>9.999999999999984</v>
      </c>
      <c r="AF37" s="444">
        <v>22.999999999999986</v>
      </c>
      <c r="AG37" s="444">
        <v>1.9999999999999991</v>
      </c>
      <c r="AH37" s="444">
        <v>53.999999999999879</v>
      </c>
      <c r="AI37" s="444">
        <v>61.999999999999986</v>
      </c>
      <c r="AJ37" s="444">
        <v>14.999999999999996</v>
      </c>
      <c r="AK37" s="444">
        <v>0</v>
      </c>
      <c r="AL37" s="444">
        <v>0</v>
      </c>
      <c r="AM37" s="444">
        <v>0</v>
      </c>
      <c r="AN37" s="444">
        <v>0</v>
      </c>
      <c r="AO37" s="444">
        <v>0</v>
      </c>
      <c r="AP37" s="444">
        <v>0</v>
      </c>
      <c r="AQ37" s="444">
        <v>0</v>
      </c>
      <c r="AR37" s="444">
        <v>39.875647668393682</v>
      </c>
      <c r="AS37" s="444">
        <v>0</v>
      </c>
      <c r="AT37" s="444">
        <v>100.11010238760086</v>
      </c>
      <c r="AU37" s="444">
        <v>0</v>
      </c>
      <c r="AV37" s="444">
        <v>0</v>
      </c>
      <c r="AW37" s="444">
        <v>0</v>
      </c>
      <c r="AX37" s="444">
        <v>0</v>
      </c>
      <c r="AY37" s="444">
        <v>0</v>
      </c>
      <c r="AZ37" s="444">
        <v>0</v>
      </c>
      <c r="BA37" s="444">
        <v>14.519999999999939</v>
      </c>
      <c r="BB37" s="444">
        <v>0</v>
      </c>
      <c r="BC37" s="444">
        <v>0.54</v>
      </c>
      <c r="BD37" s="444">
        <v>0</v>
      </c>
      <c r="BE37" s="444">
        <v>0</v>
      </c>
      <c r="BF37" s="444">
        <v>0</v>
      </c>
      <c r="BG37" s="444">
        <v>0</v>
      </c>
      <c r="BH37" s="458">
        <v>1</v>
      </c>
      <c r="BI37" s="444">
        <v>0</v>
      </c>
      <c r="BJ37" s="444">
        <v>1</v>
      </c>
      <c r="BK37" s="444">
        <v>0</v>
      </c>
    </row>
    <row r="38" spans="1:63" ht="14.5" x14ac:dyDescent="0.35">
      <c r="A38" s="454">
        <v>138992</v>
      </c>
      <c r="B38" s="454">
        <v>8312010</v>
      </c>
      <c r="C38" s="455" t="s">
        <v>93</v>
      </c>
      <c r="D38" s="431" t="s">
        <v>265</v>
      </c>
      <c r="E38" s="456" t="s">
        <v>767</v>
      </c>
      <c r="F38" s="457">
        <v>1</v>
      </c>
      <c r="G38" s="444">
        <v>0</v>
      </c>
      <c r="H38" s="444">
        <v>0</v>
      </c>
      <c r="I38" s="444">
        <v>7</v>
      </c>
      <c r="J38" s="444">
        <v>0</v>
      </c>
      <c r="K38" s="444">
        <v>0</v>
      </c>
      <c r="L38" s="444">
        <v>0</v>
      </c>
      <c r="M38" s="444">
        <v>203</v>
      </c>
      <c r="N38" s="444">
        <v>203</v>
      </c>
      <c r="O38" s="444">
        <v>28</v>
      </c>
      <c r="P38" s="444">
        <v>175</v>
      </c>
      <c r="Q38" s="444">
        <v>0</v>
      </c>
      <c r="R38" s="444">
        <v>0</v>
      </c>
      <c r="S38" s="444">
        <v>0</v>
      </c>
      <c r="T38" s="444">
        <v>0</v>
      </c>
      <c r="U38" s="444">
        <v>0</v>
      </c>
      <c r="V38" s="444">
        <v>0</v>
      </c>
      <c r="W38" s="444">
        <v>0</v>
      </c>
      <c r="X38" s="444">
        <v>0</v>
      </c>
      <c r="Y38" s="444">
        <v>29</v>
      </c>
      <c r="Z38" s="444">
        <v>116.99999999999986</v>
      </c>
      <c r="AA38" s="444">
        <v>116.99999999999986</v>
      </c>
      <c r="AB38" s="444">
        <v>0</v>
      </c>
      <c r="AC38" s="444">
        <v>0</v>
      </c>
      <c r="AD38" s="444">
        <v>39.999999999999908</v>
      </c>
      <c r="AE38" s="444">
        <v>0</v>
      </c>
      <c r="AF38" s="444">
        <v>20.999999999999805</v>
      </c>
      <c r="AG38" s="444">
        <v>0.99999999999999856</v>
      </c>
      <c r="AH38" s="444">
        <v>70.999999999999829</v>
      </c>
      <c r="AI38" s="444">
        <v>66.999999999999829</v>
      </c>
      <c r="AJ38" s="444">
        <v>2.9999999999999982</v>
      </c>
      <c r="AK38" s="444">
        <v>0</v>
      </c>
      <c r="AL38" s="444">
        <v>0</v>
      </c>
      <c r="AM38" s="444">
        <v>0</v>
      </c>
      <c r="AN38" s="444">
        <v>0</v>
      </c>
      <c r="AO38" s="444">
        <v>0</v>
      </c>
      <c r="AP38" s="444">
        <v>0</v>
      </c>
      <c r="AQ38" s="444">
        <v>0</v>
      </c>
      <c r="AR38" s="444">
        <v>55.67999999999995</v>
      </c>
      <c r="AS38" s="444">
        <v>0</v>
      </c>
      <c r="AT38" s="444">
        <v>78.529886454028698</v>
      </c>
      <c r="AU38" s="444">
        <v>0</v>
      </c>
      <c r="AV38" s="444">
        <v>0</v>
      </c>
      <c r="AW38" s="444">
        <v>0</v>
      </c>
      <c r="AX38" s="444">
        <v>0</v>
      </c>
      <c r="AY38" s="444">
        <v>0</v>
      </c>
      <c r="AZ38" s="444">
        <v>0</v>
      </c>
      <c r="BA38" s="444">
        <v>4.9041584158415716</v>
      </c>
      <c r="BB38" s="444">
        <v>0</v>
      </c>
      <c r="BC38" s="444">
        <v>0.72199999999999998</v>
      </c>
      <c r="BD38" s="444">
        <v>0</v>
      </c>
      <c r="BE38" s="444">
        <v>0</v>
      </c>
      <c r="BF38" s="444">
        <v>0</v>
      </c>
      <c r="BG38" s="444">
        <v>0</v>
      </c>
      <c r="BH38" s="458">
        <v>1</v>
      </c>
      <c r="BI38" s="444">
        <v>0</v>
      </c>
      <c r="BJ38" s="444">
        <v>1</v>
      </c>
      <c r="BK38" s="444">
        <v>0</v>
      </c>
    </row>
    <row r="39" spans="1:63" ht="14.5" x14ac:dyDescent="0.35">
      <c r="A39" s="454">
        <v>140842</v>
      </c>
      <c r="B39" s="454">
        <v>8312011</v>
      </c>
      <c r="C39" s="455" t="s">
        <v>94</v>
      </c>
      <c r="D39" s="431" t="s">
        <v>265</v>
      </c>
      <c r="E39" s="456" t="s">
        <v>767</v>
      </c>
      <c r="F39" s="457">
        <v>1</v>
      </c>
      <c r="G39" s="444">
        <v>0</v>
      </c>
      <c r="H39" s="444">
        <v>0</v>
      </c>
      <c r="I39" s="444">
        <v>7</v>
      </c>
      <c r="J39" s="444">
        <v>0</v>
      </c>
      <c r="K39" s="444">
        <v>0</v>
      </c>
      <c r="L39" s="444">
        <v>0</v>
      </c>
      <c r="M39" s="444">
        <v>220</v>
      </c>
      <c r="N39" s="444">
        <v>220</v>
      </c>
      <c r="O39" s="444">
        <v>30</v>
      </c>
      <c r="P39" s="444">
        <v>190</v>
      </c>
      <c r="Q39" s="444">
        <v>0</v>
      </c>
      <c r="R39" s="444">
        <v>0</v>
      </c>
      <c r="S39" s="444">
        <v>0</v>
      </c>
      <c r="T39" s="444">
        <v>0</v>
      </c>
      <c r="U39" s="444">
        <v>0</v>
      </c>
      <c r="V39" s="444">
        <v>0</v>
      </c>
      <c r="W39" s="444">
        <v>0</v>
      </c>
      <c r="X39" s="444">
        <v>0</v>
      </c>
      <c r="Y39" s="444">
        <v>31.428571428571427</v>
      </c>
      <c r="Z39" s="444">
        <v>84.999999999999929</v>
      </c>
      <c r="AA39" s="444">
        <v>84.999999999999929</v>
      </c>
      <c r="AB39" s="444">
        <v>0</v>
      </c>
      <c r="AC39" s="444">
        <v>0</v>
      </c>
      <c r="AD39" s="444">
        <v>30.136986301369863</v>
      </c>
      <c r="AE39" s="444">
        <v>6.0273972602739718</v>
      </c>
      <c r="AF39" s="444">
        <v>95.433789954337783</v>
      </c>
      <c r="AG39" s="444">
        <v>35.159817351598065</v>
      </c>
      <c r="AH39" s="444">
        <v>33.150684931506781</v>
      </c>
      <c r="AI39" s="444">
        <v>16.073059360730593</v>
      </c>
      <c r="AJ39" s="444">
        <v>4.0182648401826482</v>
      </c>
      <c r="AK39" s="444">
        <v>0</v>
      </c>
      <c r="AL39" s="444">
        <v>0</v>
      </c>
      <c r="AM39" s="444">
        <v>0</v>
      </c>
      <c r="AN39" s="444">
        <v>0</v>
      </c>
      <c r="AO39" s="444">
        <v>0</v>
      </c>
      <c r="AP39" s="444">
        <v>0</v>
      </c>
      <c r="AQ39" s="444">
        <v>0</v>
      </c>
      <c r="AR39" s="444">
        <v>46.315789473684063</v>
      </c>
      <c r="AS39" s="444">
        <v>0</v>
      </c>
      <c r="AT39" s="444">
        <v>71.392262708052229</v>
      </c>
      <c r="AU39" s="444">
        <v>0</v>
      </c>
      <c r="AV39" s="444">
        <v>0</v>
      </c>
      <c r="AW39" s="444">
        <v>0</v>
      </c>
      <c r="AX39" s="444">
        <v>0</v>
      </c>
      <c r="AY39" s="444">
        <v>0</v>
      </c>
      <c r="AZ39" s="444">
        <v>0</v>
      </c>
      <c r="BA39" s="444">
        <v>5.7999999999999856</v>
      </c>
      <c r="BB39" s="444">
        <v>0</v>
      </c>
      <c r="BC39" s="444">
        <v>0.45300000000000001</v>
      </c>
      <c r="BD39" s="444">
        <v>0</v>
      </c>
      <c r="BE39" s="444">
        <v>0</v>
      </c>
      <c r="BF39" s="444">
        <v>0</v>
      </c>
      <c r="BG39" s="444">
        <v>0</v>
      </c>
      <c r="BH39" s="458">
        <v>1</v>
      </c>
      <c r="BI39" s="444">
        <v>0</v>
      </c>
      <c r="BJ39" s="444">
        <v>1</v>
      </c>
      <c r="BK39" s="444">
        <v>0</v>
      </c>
    </row>
    <row r="40" spans="1:63" ht="14.5" x14ac:dyDescent="0.35">
      <c r="A40" s="454">
        <v>141324</v>
      </c>
      <c r="B40" s="454">
        <v>8312012</v>
      </c>
      <c r="C40" s="455" t="s">
        <v>95</v>
      </c>
      <c r="D40" s="431" t="s">
        <v>265</v>
      </c>
      <c r="E40" s="456" t="s">
        <v>767</v>
      </c>
      <c r="F40" s="457">
        <v>1</v>
      </c>
      <c r="G40" s="444">
        <v>0</v>
      </c>
      <c r="H40" s="444">
        <v>0</v>
      </c>
      <c r="I40" s="444">
        <v>7</v>
      </c>
      <c r="J40" s="444">
        <v>0</v>
      </c>
      <c r="K40" s="444">
        <v>0</v>
      </c>
      <c r="L40" s="444">
        <v>0</v>
      </c>
      <c r="M40" s="444">
        <v>260</v>
      </c>
      <c r="N40" s="444">
        <v>260</v>
      </c>
      <c r="O40" s="444">
        <v>24</v>
      </c>
      <c r="P40" s="444">
        <v>236</v>
      </c>
      <c r="Q40" s="444">
        <v>0</v>
      </c>
      <c r="R40" s="444">
        <v>0</v>
      </c>
      <c r="S40" s="444">
        <v>0</v>
      </c>
      <c r="T40" s="444">
        <v>0</v>
      </c>
      <c r="U40" s="444">
        <v>0</v>
      </c>
      <c r="V40" s="444">
        <v>0</v>
      </c>
      <c r="W40" s="444">
        <v>0</v>
      </c>
      <c r="X40" s="444">
        <v>0</v>
      </c>
      <c r="Y40" s="444">
        <v>37.142857142857146</v>
      </c>
      <c r="Z40" s="444">
        <v>158.99999999999986</v>
      </c>
      <c r="AA40" s="444">
        <v>158.99999999999986</v>
      </c>
      <c r="AB40" s="444">
        <v>0</v>
      </c>
      <c r="AC40" s="444">
        <v>0</v>
      </c>
      <c r="AD40" s="444">
        <v>14.999999999999975</v>
      </c>
      <c r="AE40" s="444">
        <v>9.999999999999984</v>
      </c>
      <c r="AF40" s="444">
        <v>7.9999999999999822</v>
      </c>
      <c r="AG40" s="444">
        <v>0.99999999999999833</v>
      </c>
      <c r="AH40" s="444">
        <v>43.999999999999936</v>
      </c>
      <c r="AI40" s="444">
        <v>146.99999999999991</v>
      </c>
      <c r="AJ40" s="444">
        <v>34.999999999999837</v>
      </c>
      <c r="AK40" s="444">
        <v>0</v>
      </c>
      <c r="AL40" s="444">
        <v>0</v>
      </c>
      <c r="AM40" s="444">
        <v>0</v>
      </c>
      <c r="AN40" s="444">
        <v>0</v>
      </c>
      <c r="AO40" s="444">
        <v>0</v>
      </c>
      <c r="AP40" s="444">
        <v>0</v>
      </c>
      <c r="AQ40" s="444">
        <v>0</v>
      </c>
      <c r="AR40" s="444">
        <v>56.18644067796604</v>
      </c>
      <c r="AS40" s="444">
        <v>0</v>
      </c>
      <c r="AT40" s="444">
        <v>114.47200733941857</v>
      </c>
      <c r="AU40" s="444">
        <v>0</v>
      </c>
      <c r="AV40" s="444">
        <v>0</v>
      </c>
      <c r="AW40" s="444">
        <v>0</v>
      </c>
      <c r="AX40" s="444">
        <v>0</v>
      </c>
      <c r="AY40" s="444">
        <v>0</v>
      </c>
      <c r="AZ40" s="444">
        <v>0</v>
      </c>
      <c r="BA40" s="444">
        <v>25.399999999999817</v>
      </c>
      <c r="BB40" s="444">
        <v>0</v>
      </c>
      <c r="BC40" s="444">
        <v>0.54300000000000004</v>
      </c>
      <c r="BD40" s="444">
        <v>0</v>
      </c>
      <c r="BE40" s="444">
        <v>0</v>
      </c>
      <c r="BF40" s="444">
        <v>0</v>
      </c>
      <c r="BG40" s="444">
        <v>0</v>
      </c>
      <c r="BH40" s="458">
        <v>1</v>
      </c>
      <c r="BI40" s="444">
        <v>0</v>
      </c>
      <c r="BJ40" s="444">
        <v>1</v>
      </c>
      <c r="BK40" s="444">
        <v>0</v>
      </c>
    </row>
    <row r="41" spans="1:63" ht="14.5" x14ac:dyDescent="0.35">
      <c r="A41" s="454">
        <v>142041</v>
      </c>
      <c r="B41" s="454">
        <v>8312013</v>
      </c>
      <c r="C41" s="455" t="s">
        <v>96</v>
      </c>
      <c r="D41" s="431" t="s">
        <v>265</v>
      </c>
      <c r="E41" s="456" t="s">
        <v>767</v>
      </c>
      <c r="F41" s="457">
        <v>1</v>
      </c>
      <c r="G41" s="444">
        <v>0</v>
      </c>
      <c r="H41" s="444">
        <v>0</v>
      </c>
      <c r="I41" s="444">
        <v>7</v>
      </c>
      <c r="J41" s="444">
        <v>0</v>
      </c>
      <c r="K41" s="444">
        <v>0</v>
      </c>
      <c r="L41" s="444">
        <v>0</v>
      </c>
      <c r="M41" s="444">
        <v>412</v>
      </c>
      <c r="N41" s="444">
        <v>412</v>
      </c>
      <c r="O41" s="444">
        <v>52</v>
      </c>
      <c r="P41" s="444">
        <v>360</v>
      </c>
      <c r="Q41" s="444">
        <v>0</v>
      </c>
      <c r="R41" s="444">
        <v>0</v>
      </c>
      <c r="S41" s="444">
        <v>0</v>
      </c>
      <c r="T41" s="444">
        <v>0</v>
      </c>
      <c r="U41" s="444">
        <v>0</v>
      </c>
      <c r="V41" s="444">
        <v>0</v>
      </c>
      <c r="W41" s="444">
        <v>0</v>
      </c>
      <c r="X41" s="444">
        <v>0</v>
      </c>
      <c r="Y41" s="444">
        <v>58.857142857142854</v>
      </c>
      <c r="Z41" s="444">
        <v>254.9999999999998</v>
      </c>
      <c r="AA41" s="444">
        <v>254.9999999999998</v>
      </c>
      <c r="AB41" s="444">
        <v>0</v>
      </c>
      <c r="AC41" s="444">
        <v>0</v>
      </c>
      <c r="AD41" s="444">
        <v>26.999999999999972</v>
      </c>
      <c r="AE41" s="444">
        <v>8.9999999999999751</v>
      </c>
      <c r="AF41" s="444">
        <v>170.99999999999983</v>
      </c>
      <c r="AG41" s="444">
        <v>70.999999999999744</v>
      </c>
      <c r="AH41" s="444">
        <v>66.999999999999602</v>
      </c>
      <c r="AI41" s="444">
        <v>53.99999999999978</v>
      </c>
      <c r="AJ41" s="444">
        <v>12.999999999999989</v>
      </c>
      <c r="AK41" s="444">
        <v>0</v>
      </c>
      <c r="AL41" s="444">
        <v>0</v>
      </c>
      <c r="AM41" s="444">
        <v>0</v>
      </c>
      <c r="AN41" s="444">
        <v>0</v>
      </c>
      <c r="AO41" s="444">
        <v>0</v>
      </c>
      <c r="AP41" s="444">
        <v>0</v>
      </c>
      <c r="AQ41" s="444">
        <v>0</v>
      </c>
      <c r="AR41" s="444">
        <v>185.4</v>
      </c>
      <c r="AS41" s="444">
        <v>0</v>
      </c>
      <c r="AT41" s="444">
        <v>191.52405155856377</v>
      </c>
      <c r="AU41" s="444">
        <v>0</v>
      </c>
      <c r="AV41" s="444">
        <v>0</v>
      </c>
      <c r="AW41" s="444">
        <v>0</v>
      </c>
      <c r="AX41" s="444">
        <v>0</v>
      </c>
      <c r="AY41" s="444">
        <v>0</v>
      </c>
      <c r="AZ41" s="444">
        <v>0</v>
      </c>
      <c r="BA41" s="444">
        <v>41.279999999999774</v>
      </c>
      <c r="BB41" s="444">
        <v>0</v>
      </c>
      <c r="BC41" s="444">
        <v>0.39700000000000002</v>
      </c>
      <c r="BD41" s="444">
        <v>0</v>
      </c>
      <c r="BE41" s="444">
        <v>0</v>
      </c>
      <c r="BF41" s="444">
        <v>0</v>
      </c>
      <c r="BG41" s="444">
        <v>0</v>
      </c>
      <c r="BH41" s="458">
        <v>1</v>
      </c>
      <c r="BI41" s="444">
        <v>0</v>
      </c>
      <c r="BJ41" s="444">
        <v>1</v>
      </c>
      <c r="BK41" s="444">
        <v>0</v>
      </c>
    </row>
    <row r="42" spans="1:63" ht="14.5" x14ac:dyDescent="0.35">
      <c r="A42" s="454">
        <v>144343</v>
      </c>
      <c r="B42" s="454">
        <v>8312016</v>
      </c>
      <c r="C42" s="455" t="s">
        <v>98</v>
      </c>
      <c r="D42" s="431" t="s">
        <v>265</v>
      </c>
      <c r="E42" s="456" t="s">
        <v>767</v>
      </c>
      <c r="F42" s="457">
        <v>1</v>
      </c>
      <c r="G42" s="444">
        <v>0</v>
      </c>
      <c r="H42" s="444">
        <v>0</v>
      </c>
      <c r="I42" s="444">
        <v>7</v>
      </c>
      <c r="J42" s="444">
        <v>0</v>
      </c>
      <c r="K42" s="444">
        <v>0</v>
      </c>
      <c r="L42" s="444">
        <v>0</v>
      </c>
      <c r="M42" s="444">
        <v>274</v>
      </c>
      <c r="N42" s="444">
        <v>274</v>
      </c>
      <c r="O42" s="444">
        <v>40</v>
      </c>
      <c r="P42" s="444">
        <v>234</v>
      </c>
      <c r="Q42" s="444">
        <v>0</v>
      </c>
      <c r="R42" s="444">
        <v>0</v>
      </c>
      <c r="S42" s="444">
        <v>0</v>
      </c>
      <c r="T42" s="444">
        <v>0</v>
      </c>
      <c r="U42" s="444">
        <v>0</v>
      </c>
      <c r="V42" s="444">
        <v>0</v>
      </c>
      <c r="W42" s="444">
        <v>0</v>
      </c>
      <c r="X42" s="444">
        <v>0</v>
      </c>
      <c r="Y42" s="444">
        <v>39.142857142857146</v>
      </c>
      <c r="Z42" s="444">
        <v>141.9999999999998</v>
      </c>
      <c r="AA42" s="444">
        <v>141.9999999999998</v>
      </c>
      <c r="AB42" s="444">
        <v>0</v>
      </c>
      <c r="AC42" s="444">
        <v>0</v>
      </c>
      <c r="AD42" s="444">
        <v>23.999999999999996</v>
      </c>
      <c r="AE42" s="444">
        <v>18.999999999999986</v>
      </c>
      <c r="AF42" s="444">
        <v>63.999999999999886</v>
      </c>
      <c r="AG42" s="444">
        <v>2.9999999999999858</v>
      </c>
      <c r="AH42" s="444">
        <v>3.9999999999999996</v>
      </c>
      <c r="AI42" s="444">
        <v>20.999999999999986</v>
      </c>
      <c r="AJ42" s="444">
        <v>138.9999999999998</v>
      </c>
      <c r="AK42" s="444">
        <v>0</v>
      </c>
      <c r="AL42" s="444">
        <v>0</v>
      </c>
      <c r="AM42" s="444">
        <v>0</v>
      </c>
      <c r="AN42" s="444">
        <v>0</v>
      </c>
      <c r="AO42" s="444">
        <v>0</v>
      </c>
      <c r="AP42" s="444">
        <v>0</v>
      </c>
      <c r="AQ42" s="444">
        <v>0</v>
      </c>
      <c r="AR42" s="444">
        <v>63.23076923076902</v>
      </c>
      <c r="AS42" s="444">
        <v>0</v>
      </c>
      <c r="AT42" s="444">
        <v>108.60167020196168</v>
      </c>
      <c r="AU42" s="444">
        <v>0</v>
      </c>
      <c r="AV42" s="444">
        <v>0</v>
      </c>
      <c r="AW42" s="444">
        <v>0</v>
      </c>
      <c r="AX42" s="444">
        <v>0</v>
      </c>
      <c r="AY42" s="444">
        <v>0</v>
      </c>
      <c r="AZ42" s="444">
        <v>0</v>
      </c>
      <c r="BA42" s="444">
        <v>22.559999999999818</v>
      </c>
      <c r="BB42" s="444">
        <v>0</v>
      </c>
      <c r="BC42" s="444">
        <v>0.59899999999999998</v>
      </c>
      <c r="BD42" s="444">
        <v>0</v>
      </c>
      <c r="BE42" s="444">
        <v>0</v>
      </c>
      <c r="BF42" s="444">
        <v>0</v>
      </c>
      <c r="BG42" s="444">
        <v>0</v>
      </c>
      <c r="BH42" s="458">
        <v>1</v>
      </c>
      <c r="BI42" s="444">
        <v>0</v>
      </c>
      <c r="BJ42" s="444">
        <v>1</v>
      </c>
      <c r="BK42" s="444">
        <v>0</v>
      </c>
    </row>
    <row r="43" spans="1:63" ht="14.5" x14ac:dyDescent="0.35">
      <c r="A43" s="454">
        <v>144466</v>
      </c>
      <c r="B43" s="454">
        <v>8312017</v>
      </c>
      <c r="C43" s="455" t="s">
        <v>99</v>
      </c>
      <c r="D43" s="431" t="s">
        <v>265</v>
      </c>
      <c r="E43" s="456" t="s">
        <v>767</v>
      </c>
      <c r="F43" s="457">
        <v>1</v>
      </c>
      <c r="G43" s="444">
        <v>0</v>
      </c>
      <c r="H43" s="444">
        <v>0</v>
      </c>
      <c r="I43" s="444">
        <v>4</v>
      </c>
      <c r="J43" s="444">
        <v>0</v>
      </c>
      <c r="K43" s="444">
        <v>0</v>
      </c>
      <c r="L43" s="444">
        <v>0</v>
      </c>
      <c r="M43" s="444">
        <v>357</v>
      </c>
      <c r="N43" s="444">
        <v>357</v>
      </c>
      <c r="O43" s="444">
        <v>0</v>
      </c>
      <c r="P43" s="444">
        <v>357</v>
      </c>
      <c r="Q43" s="444">
        <v>0</v>
      </c>
      <c r="R43" s="444">
        <v>0</v>
      </c>
      <c r="S43" s="444">
        <v>0</v>
      </c>
      <c r="T43" s="444">
        <v>0</v>
      </c>
      <c r="U43" s="444">
        <v>0</v>
      </c>
      <c r="V43" s="444">
        <v>0</v>
      </c>
      <c r="W43" s="444">
        <v>0</v>
      </c>
      <c r="X43" s="444">
        <v>0</v>
      </c>
      <c r="Y43" s="444">
        <v>89.25</v>
      </c>
      <c r="Z43" s="444">
        <v>285.99999999999972</v>
      </c>
      <c r="AA43" s="444">
        <v>289.99999999999972</v>
      </c>
      <c r="AB43" s="444">
        <v>0</v>
      </c>
      <c r="AC43" s="444">
        <v>0</v>
      </c>
      <c r="AD43" s="444">
        <v>4.9999999999999796</v>
      </c>
      <c r="AE43" s="444">
        <v>28</v>
      </c>
      <c r="AF43" s="444">
        <v>29.999999999999982</v>
      </c>
      <c r="AG43" s="444">
        <v>137.99999999999983</v>
      </c>
      <c r="AH43" s="444">
        <v>137.99999999999983</v>
      </c>
      <c r="AI43" s="444">
        <v>9.9999999999999947</v>
      </c>
      <c r="AJ43" s="444">
        <v>7.9999999999999742</v>
      </c>
      <c r="AK43" s="444">
        <v>0</v>
      </c>
      <c r="AL43" s="444">
        <v>0</v>
      </c>
      <c r="AM43" s="444">
        <v>0</v>
      </c>
      <c r="AN43" s="444">
        <v>0</v>
      </c>
      <c r="AO43" s="444">
        <v>0</v>
      </c>
      <c r="AP43" s="444">
        <v>0</v>
      </c>
      <c r="AQ43" s="444">
        <v>0</v>
      </c>
      <c r="AR43" s="444">
        <v>122.99999999999984</v>
      </c>
      <c r="AS43" s="444">
        <v>0</v>
      </c>
      <c r="AT43" s="444">
        <v>141.02885543636162</v>
      </c>
      <c r="AU43" s="444">
        <v>0</v>
      </c>
      <c r="AV43" s="444">
        <v>0</v>
      </c>
      <c r="AW43" s="444">
        <v>0</v>
      </c>
      <c r="AX43" s="444">
        <v>0</v>
      </c>
      <c r="AY43" s="444">
        <v>0</v>
      </c>
      <c r="AZ43" s="444">
        <v>0</v>
      </c>
      <c r="BA43" s="444">
        <v>6.6586516853932487</v>
      </c>
      <c r="BB43" s="444">
        <v>0</v>
      </c>
      <c r="BC43" s="444">
        <v>0.47199999999999998</v>
      </c>
      <c r="BD43" s="444">
        <v>0</v>
      </c>
      <c r="BE43" s="444">
        <v>0</v>
      </c>
      <c r="BF43" s="444">
        <v>0</v>
      </c>
      <c r="BG43" s="444">
        <v>0</v>
      </c>
      <c r="BH43" s="458">
        <v>1</v>
      </c>
      <c r="BI43" s="444">
        <v>0</v>
      </c>
      <c r="BJ43" s="444">
        <v>1</v>
      </c>
      <c r="BK43" s="444">
        <v>0</v>
      </c>
    </row>
    <row r="44" spans="1:63" ht="14.5" x14ac:dyDescent="0.35">
      <c r="A44" s="454">
        <v>144624</v>
      </c>
      <c r="B44" s="454">
        <v>8312018</v>
      </c>
      <c r="C44" s="455" t="s">
        <v>100</v>
      </c>
      <c r="D44" s="431" t="s">
        <v>265</v>
      </c>
      <c r="E44" s="456" t="s">
        <v>767</v>
      </c>
      <c r="F44" s="457">
        <v>1</v>
      </c>
      <c r="G44" s="444">
        <v>0</v>
      </c>
      <c r="H44" s="444">
        <v>0</v>
      </c>
      <c r="I44" s="444">
        <v>7</v>
      </c>
      <c r="J44" s="444">
        <v>0</v>
      </c>
      <c r="K44" s="444">
        <v>0</v>
      </c>
      <c r="L44" s="444">
        <v>0</v>
      </c>
      <c r="M44" s="444">
        <v>366</v>
      </c>
      <c r="N44" s="444">
        <v>366</v>
      </c>
      <c r="O44" s="444">
        <v>60</v>
      </c>
      <c r="P44" s="444">
        <v>306</v>
      </c>
      <c r="Q44" s="444">
        <v>0</v>
      </c>
      <c r="R44" s="444">
        <v>0</v>
      </c>
      <c r="S44" s="444">
        <v>0</v>
      </c>
      <c r="T44" s="444">
        <v>0</v>
      </c>
      <c r="U44" s="444">
        <v>0</v>
      </c>
      <c r="V44" s="444">
        <v>0</v>
      </c>
      <c r="W44" s="444">
        <v>0</v>
      </c>
      <c r="X44" s="444">
        <v>0</v>
      </c>
      <c r="Y44" s="444">
        <v>52.285714285714285</v>
      </c>
      <c r="Z44" s="444">
        <v>183.99999999999983</v>
      </c>
      <c r="AA44" s="444">
        <v>186.99999999999969</v>
      </c>
      <c r="AB44" s="444">
        <v>0</v>
      </c>
      <c r="AC44" s="444">
        <v>0</v>
      </c>
      <c r="AD44" s="444">
        <v>83.999999999999829</v>
      </c>
      <c r="AE44" s="444">
        <v>134</v>
      </c>
      <c r="AF44" s="444">
        <v>57.999999999999901</v>
      </c>
      <c r="AG44" s="444">
        <v>37.999999999999687</v>
      </c>
      <c r="AH44" s="444">
        <v>3.9999999999999707</v>
      </c>
      <c r="AI44" s="444">
        <v>22.999999999999996</v>
      </c>
      <c r="AJ44" s="444">
        <v>24.999999999999982</v>
      </c>
      <c r="AK44" s="444">
        <v>0</v>
      </c>
      <c r="AL44" s="444">
        <v>0</v>
      </c>
      <c r="AM44" s="444">
        <v>0</v>
      </c>
      <c r="AN44" s="444">
        <v>0</v>
      </c>
      <c r="AO44" s="444">
        <v>0</v>
      </c>
      <c r="AP44" s="444">
        <v>0</v>
      </c>
      <c r="AQ44" s="444">
        <v>0</v>
      </c>
      <c r="AR44" s="444">
        <v>26.313725490196077</v>
      </c>
      <c r="AS44" s="444">
        <v>0</v>
      </c>
      <c r="AT44" s="444">
        <v>148.37112800921759</v>
      </c>
      <c r="AU44" s="444">
        <v>0</v>
      </c>
      <c r="AV44" s="444">
        <v>0</v>
      </c>
      <c r="AW44" s="444">
        <v>0</v>
      </c>
      <c r="AX44" s="444">
        <v>0</v>
      </c>
      <c r="AY44" s="444">
        <v>0</v>
      </c>
      <c r="AZ44" s="444">
        <v>0</v>
      </c>
      <c r="BA44" s="444">
        <v>4.0399999999999938</v>
      </c>
      <c r="BB44" s="444">
        <v>0</v>
      </c>
      <c r="BC44" s="444">
        <v>0.67400000000000004</v>
      </c>
      <c r="BD44" s="444">
        <v>0</v>
      </c>
      <c r="BE44" s="444">
        <v>0</v>
      </c>
      <c r="BF44" s="444">
        <v>0</v>
      </c>
      <c r="BG44" s="444">
        <v>0</v>
      </c>
      <c r="BH44" s="458">
        <v>1</v>
      </c>
      <c r="BI44" s="444">
        <v>0</v>
      </c>
      <c r="BJ44" s="444">
        <v>1</v>
      </c>
      <c r="BK44" s="444">
        <v>0</v>
      </c>
    </row>
    <row r="45" spans="1:63" ht="14.5" x14ac:dyDescent="0.35">
      <c r="A45" s="454">
        <v>144822</v>
      </c>
      <c r="B45" s="454">
        <v>8312019</v>
      </c>
      <c r="C45" s="455" t="s">
        <v>101</v>
      </c>
      <c r="D45" s="431" t="s">
        <v>265</v>
      </c>
      <c r="E45" s="456" t="s">
        <v>767</v>
      </c>
      <c r="F45" s="457">
        <v>1</v>
      </c>
      <c r="G45" s="444">
        <v>0</v>
      </c>
      <c r="H45" s="444">
        <v>0</v>
      </c>
      <c r="I45" s="444">
        <v>4</v>
      </c>
      <c r="J45" s="444">
        <v>0</v>
      </c>
      <c r="K45" s="444">
        <v>0</v>
      </c>
      <c r="L45" s="444">
        <v>0</v>
      </c>
      <c r="M45" s="444">
        <v>287</v>
      </c>
      <c r="N45" s="444">
        <v>287</v>
      </c>
      <c r="O45" s="444">
        <v>0</v>
      </c>
      <c r="P45" s="444">
        <v>287</v>
      </c>
      <c r="Q45" s="444">
        <v>0</v>
      </c>
      <c r="R45" s="444">
        <v>0</v>
      </c>
      <c r="S45" s="444">
        <v>0</v>
      </c>
      <c r="T45" s="444">
        <v>0</v>
      </c>
      <c r="U45" s="444">
        <v>0</v>
      </c>
      <c r="V45" s="444">
        <v>0</v>
      </c>
      <c r="W45" s="444">
        <v>0</v>
      </c>
      <c r="X45" s="444">
        <v>0</v>
      </c>
      <c r="Y45" s="444">
        <v>71.75</v>
      </c>
      <c r="Z45" s="444">
        <v>103.99999999999997</v>
      </c>
      <c r="AA45" s="444">
        <v>104.9999999999999</v>
      </c>
      <c r="AB45" s="444">
        <v>0</v>
      </c>
      <c r="AC45" s="444">
        <v>0</v>
      </c>
      <c r="AD45" s="444">
        <v>153.99999999999986</v>
      </c>
      <c r="AE45" s="444">
        <v>67.999999999999801</v>
      </c>
      <c r="AF45" s="444">
        <v>41.999999999999957</v>
      </c>
      <c r="AG45" s="444">
        <v>3.9999999999999836</v>
      </c>
      <c r="AH45" s="444">
        <v>0</v>
      </c>
      <c r="AI45" s="444">
        <v>12.999999999999982</v>
      </c>
      <c r="AJ45" s="444">
        <v>5.9999999999999893</v>
      </c>
      <c r="AK45" s="444">
        <v>0</v>
      </c>
      <c r="AL45" s="444">
        <v>0</v>
      </c>
      <c r="AM45" s="444">
        <v>0</v>
      </c>
      <c r="AN45" s="444">
        <v>0</v>
      </c>
      <c r="AO45" s="444">
        <v>0</v>
      </c>
      <c r="AP45" s="444">
        <v>0</v>
      </c>
      <c r="AQ45" s="444">
        <v>0</v>
      </c>
      <c r="AR45" s="444">
        <v>12.999999999999982</v>
      </c>
      <c r="AS45" s="444">
        <v>0</v>
      </c>
      <c r="AT45" s="444">
        <v>93.114718534192761</v>
      </c>
      <c r="AU45" s="444">
        <v>0</v>
      </c>
      <c r="AV45" s="444">
        <v>0</v>
      </c>
      <c r="AW45" s="444">
        <v>0</v>
      </c>
      <c r="AX45" s="444">
        <v>0</v>
      </c>
      <c r="AY45" s="444">
        <v>0</v>
      </c>
      <c r="AZ45" s="444">
        <v>0</v>
      </c>
      <c r="BA45" s="444">
        <v>0</v>
      </c>
      <c r="BB45" s="444">
        <v>0</v>
      </c>
      <c r="BC45" s="444">
        <v>0.73199999999999998</v>
      </c>
      <c r="BD45" s="444">
        <v>0</v>
      </c>
      <c r="BE45" s="444">
        <v>0</v>
      </c>
      <c r="BF45" s="444">
        <v>0</v>
      </c>
      <c r="BG45" s="444">
        <v>0</v>
      </c>
      <c r="BH45" s="458">
        <v>1</v>
      </c>
      <c r="BI45" s="444">
        <v>0</v>
      </c>
      <c r="BJ45" s="444">
        <v>1</v>
      </c>
      <c r="BK45" s="444">
        <v>0</v>
      </c>
    </row>
    <row r="46" spans="1:63" ht="14.5" x14ac:dyDescent="0.35">
      <c r="A46" s="454">
        <v>145855</v>
      </c>
      <c r="B46" s="454">
        <v>8312020</v>
      </c>
      <c r="C46" s="455" t="s">
        <v>102</v>
      </c>
      <c r="D46" s="431" t="s">
        <v>265</v>
      </c>
      <c r="E46" s="456" t="s">
        <v>767</v>
      </c>
      <c r="F46" s="457">
        <v>1</v>
      </c>
      <c r="G46" s="444">
        <v>0</v>
      </c>
      <c r="H46" s="444">
        <v>0</v>
      </c>
      <c r="I46" s="444">
        <v>7</v>
      </c>
      <c r="J46" s="444">
        <v>0</v>
      </c>
      <c r="K46" s="444">
        <v>0</v>
      </c>
      <c r="L46" s="444">
        <v>0</v>
      </c>
      <c r="M46" s="444">
        <v>391</v>
      </c>
      <c r="N46" s="444">
        <v>391</v>
      </c>
      <c r="O46" s="444">
        <v>47</v>
      </c>
      <c r="P46" s="444">
        <v>344</v>
      </c>
      <c r="Q46" s="444">
        <v>0</v>
      </c>
      <c r="R46" s="444">
        <v>0</v>
      </c>
      <c r="S46" s="444">
        <v>0</v>
      </c>
      <c r="T46" s="444">
        <v>0</v>
      </c>
      <c r="U46" s="444">
        <v>0</v>
      </c>
      <c r="V46" s="444">
        <v>0</v>
      </c>
      <c r="W46" s="444">
        <v>0</v>
      </c>
      <c r="X46" s="444">
        <v>0</v>
      </c>
      <c r="Y46" s="444">
        <v>55.857142857142854</v>
      </c>
      <c r="Z46" s="444">
        <v>146.99999999999983</v>
      </c>
      <c r="AA46" s="444">
        <v>157</v>
      </c>
      <c r="AB46" s="444">
        <v>0</v>
      </c>
      <c r="AC46" s="444">
        <v>0</v>
      </c>
      <c r="AD46" s="444">
        <v>51.130769230768927</v>
      </c>
      <c r="AE46" s="444">
        <v>247.63333333333318</v>
      </c>
      <c r="AF46" s="444">
        <v>18.046153846153825</v>
      </c>
      <c r="AG46" s="444">
        <v>1.002564102564101</v>
      </c>
      <c r="AH46" s="444">
        <v>61.156410256410091</v>
      </c>
      <c r="AI46" s="444">
        <v>1.002564102564101</v>
      </c>
      <c r="AJ46" s="444">
        <v>11.028205128205126</v>
      </c>
      <c r="AK46" s="444">
        <v>0</v>
      </c>
      <c r="AL46" s="444">
        <v>0</v>
      </c>
      <c r="AM46" s="444">
        <v>0</v>
      </c>
      <c r="AN46" s="444">
        <v>0</v>
      </c>
      <c r="AO46" s="444">
        <v>0</v>
      </c>
      <c r="AP46" s="444">
        <v>0</v>
      </c>
      <c r="AQ46" s="444">
        <v>0</v>
      </c>
      <c r="AR46" s="444">
        <v>37.508720930232542</v>
      </c>
      <c r="AS46" s="444">
        <v>0</v>
      </c>
      <c r="AT46" s="444">
        <v>146.32102412972128</v>
      </c>
      <c r="AU46" s="444">
        <v>0</v>
      </c>
      <c r="AV46" s="444">
        <v>0</v>
      </c>
      <c r="AW46" s="444">
        <v>0</v>
      </c>
      <c r="AX46" s="444">
        <v>0</v>
      </c>
      <c r="AY46" s="444">
        <v>0</v>
      </c>
      <c r="AZ46" s="444">
        <v>0</v>
      </c>
      <c r="BA46" s="444">
        <v>5.5400000000000009</v>
      </c>
      <c r="BB46" s="444">
        <v>0</v>
      </c>
      <c r="BC46" s="444">
        <v>0.76300000000000001</v>
      </c>
      <c r="BD46" s="444">
        <v>0</v>
      </c>
      <c r="BE46" s="444">
        <v>0</v>
      </c>
      <c r="BF46" s="444">
        <v>0</v>
      </c>
      <c r="BG46" s="444">
        <v>0</v>
      </c>
      <c r="BH46" s="458">
        <v>1</v>
      </c>
      <c r="BI46" s="444">
        <v>0</v>
      </c>
      <c r="BJ46" s="444">
        <v>1</v>
      </c>
      <c r="BK46" s="444">
        <v>0</v>
      </c>
    </row>
    <row r="47" spans="1:63" ht="14.5" x14ac:dyDescent="0.35">
      <c r="A47" s="454">
        <v>146079</v>
      </c>
      <c r="B47" s="454">
        <v>8312021</v>
      </c>
      <c r="C47" s="455" t="s">
        <v>103</v>
      </c>
      <c r="D47" s="431" t="s">
        <v>265</v>
      </c>
      <c r="E47" s="456" t="s">
        <v>767</v>
      </c>
      <c r="F47" s="457">
        <v>1</v>
      </c>
      <c r="G47" s="444">
        <v>0</v>
      </c>
      <c r="H47" s="444">
        <v>0</v>
      </c>
      <c r="I47" s="444">
        <v>7</v>
      </c>
      <c r="J47" s="444">
        <v>0</v>
      </c>
      <c r="K47" s="444">
        <v>0</v>
      </c>
      <c r="L47" s="444">
        <v>0</v>
      </c>
      <c r="M47" s="444">
        <v>603</v>
      </c>
      <c r="N47" s="444">
        <v>603</v>
      </c>
      <c r="O47" s="444">
        <v>81</v>
      </c>
      <c r="P47" s="444">
        <v>522</v>
      </c>
      <c r="Q47" s="444">
        <v>0</v>
      </c>
      <c r="R47" s="444">
        <v>0</v>
      </c>
      <c r="S47" s="444">
        <v>0</v>
      </c>
      <c r="T47" s="444">
        <v>0</v>
      </c>
      <c r="U47" s="444">
        <v>0</v>
      </c>
      <c r="V47" s="444">
        <v>0</v>
      </c>
      <c r="W47" s="444">
        <v>0</v>
      </c>
      <c r="X47" s="444">
        <v>0</v>
      </c>
      <c r="Y47" s="444">
        <v>86.142857142857139</v>
      </c>
      <c r="Z47" s="444">
        <v>377.99999999999994</v>
      </c>
      <c r="AA47" s="444">
        <v>379.99999999999983</v>
      </c>
      <c r="AB47" s="444">
        <v>0</v>
      </c>
      <c r="AC47" s="444">
        <v>0</v>
      </c>
      <c r="AD47" s="444">
        <v>25.999999999999986</v>
      </c>
      <c r="AE47" s="444">
        <v>11.999999999999993</v>
      </c>
      <c r="AF47" s="444">
        <v>22.999999999999957</v>
      </c>
      <c r="AG47" s="444">
        <v>20.999999999999957</v>
      </c>
      <c r="AH47" s="444">
        <v>19.999999999999989</v>
      </c>
      <c r="AI47" s="444">
        <v>136.9999999999996</v>
      </c>
      <c r="AJ47" s="444">
        <v>364</v>
      </c>
      <c r="AK47" s="444">
        <v>0</v>
      </c>
      <c r="AL47" s="444">
        <v>0</v>
      </c>
      <c r="AM47" s="444">
        <v>0</v>
      </c>
      <c r="AN47" s="444">
        <v>0</v>
      </c>
      <c r="AO47" s="444">
        <v>0</v>
      </c>
      <c r="AP47" s="444">
        <v>0</v>
      </c>
      <c r="AQ47" s="444">
        <v>0</v>
      </c>
      <c r="AR47" s="444">
        <v>132.84482758620649</v>
      </c>
      <c r="AS47" s="444">
        <v>0</v>
      </c>
      <c r="AT47" s="444">
        <v>226.56234958162005</v>
      </c>
      <c r="AU47" s="444">
        <v>0</v>
      </c>
      <c r="AV47" s="444">
        <v>0</v>
      </c>
      <c r="AW47" s="444">
        <v>0</v>
      </c>
      <c r="AX47" s="444">
        <v>0</v>
      </c>
      <c r="AY47" s="444">
        <v>0</v>
      </c>
      <c r="AZ47" s="444">
        <v>0</v>
      </c>
      <c r="BA47" s="444">
        <v>52.967840531560995</v>
      </c>
      <c r="BB47" s="444">
        <v>0</v>
      </c>
      <c r="BC47" s="444">
        <v>0.78900000000000003</v>
      </c>
      <c r="BD47" s="444">
        <v>0</v>
      </c>
      <c r="BE47" s="444">
        <v>0</v>
      </c>
      <c r="BF47" s="444">
        <v>0</v>
      </c>
      <c r="BG47" s="444">
        <v>0</v>
      </c>
      <c r="BH47" s="458">
        <v>1</v>
      </c>
      <c r="BI47" s="444">
        <v>0</v>
      </c>
      <c r="BJ47" s="444">
        <v>1</v>
      </c>
      <c r="BK47" s="444">
        <v>0</v>
      </c>
    </row>
    <row r="48" spans="1:63" ht="14.5" x14ac:dyDescent="0.35">
      <c r="A48" s="454">
        <v>146080</v>
      </c>
      <c r="B48" s="454">
        <v>8312022</v>
      </c>
      <c r="C48" s="455" t="s">
        <v>104</v>
      </c>
      <c r="D48" s="431" t="s">
        <v>265</v>
      </c>
      <c r="E48" s="456" t="s">
        <v>767</v>
      </c>
      <c r="F48" s="457">
        <v>1</v>
      </c>
      <c r="G48" s="444">
        <v>0</v>
      </c>
      <c r="H48" s="444">
        <v>0</v>
      </c>
      <c r="I48" s="444">
        <v>7</v>
      </c>
      <c r="J48" s="444">
        <v>0</v>
      </c>
      <c r="K48" s="444">
        <v>0</v>
      </c>
      <c r="L48" s="444">
        <v>0</v>
      </c>
      <c r="M48" s="444">
        <v>514</v>
      </c>
      <c r="N48" s="444">
        <v>514</v>
      </c>
      <c r="O48" s="444">
        <v>59</v>
      </c>
      <c r="P48" s="444">
        <v>455</v>
      </c>
      <c r="Q48" s="444">
        <v>0</v>
      </c>
      <c r="R48" s="444">
        <v>0</v>
      </c>
      <c r="S48" s="444">
        <v>0</v>
      </c>
      <c r="T48" s="444">
        <v>0</v>
      </c>
      <c r="U48" s="444">
        <v>0</v>
      </c>
      <c r="V48" s="444">
        <v>0</v>
      </c>
      <c r="W48" s="444">
        <v>0</v>
      </c>
      <c r="X48" s="444">
        <v>0</v>
      </c>
      <c r="Y48" s="444">
        <v>73.428571428571431</v>
      </c>
      <c r="Z48" s="444">
        <v>232.99999999999952</v>
      </c>
      <c r="AA48" s="444">
        <v>248.99999999999966</v>
      </c>
      <c r="AB48" s="444">
        <v>0</v>
      </c>
      <c r="AC48" s="444">
        <v>0</v>
      </c>
      <c r="AD48" s="444">
        <v>95.557729941291399</v>
      </c>
      <c r="AE48" s="444">
        <v>124.72798434442259</v>
      </c>
      <c r="AF48" s="444">
        <v>113.6634050880624</v>
      </c>
      <c r="AG48" s="444">
        <v>7.0410958904109586</v>
      </c>
      <c r="AH48" s="444">
        <v>85.499021526418673</v>
      </c>
      <c r="AI48" s="444">
        <v>55.322896281799984</v>
      </c>
      <c r="AJ48" s="444">
        <v>32.187866927592921</v>
      </c>
      <c r="AK48" s="444">
        <v>0</v>
      </c>
      <c r="AL48" s="444">
        <v>0</v>
      </c>
      <c r="AM48" s="444">
        <v>0</v>
      </c>
      <c r="AN48" s="444">
        <v>0</v>
      </c>
      <c r="AO48" s="444">
        <v>0</v>
      </c>
      <c r="AP48" s="444">
        <v>0</v>
      </c>
      <c r="AQ48" s="444">
        <v>0</v>
      </c>
      <c r="AR48" s="444">
        <v>131.04175824175775</v>
      </c>
      <c r="AS48" s="444">
        <v>0</v>
      </c>
      <c r="AT48" s="444">
        <v>249.93444534520773</v>
      </c>
      <c r="AU48" s="444">
        <v>0</v>
      </c>
      <c r="AV48" s="444">
        <v>0</v>
      </c>
      <c r="AW48" s="444">
        <v>0</v>
      </c>
      <c r="AX48" s="444">
        <v>0</v>
      </c>
      <c r="AY48" s="444">
        <v>0</v>
      </c>
      <c r="AZ48" s="444">
        <v>0</v>
      </c>
      <c r="BA48" s="444">
        <v>37.159999999999499</v>
      </c>
      <c r="BB48" s="444">
        <v>0</v>
      </c>
      <c r="BC48" s="444">
        <v>0.75900000000000001</v>
      </c>
      <c r="BD48" s="444">
        <v>0</v>
      </c>
      <c r="BE48" s="444">
        <v>0</v>
      </c>
      <c r="BF48" s="444">
        <v>0</v>
      </c>
      <c r="BG48" s="444">
        <v>0</v>
      </c>
      <c r="BH48" s="458">
        <v>1</v>
      </c>
      <c r="BI48" s="444">
        <v>0</v>
      </c>
      <c r="BJ48" s="444">
        <v>1</v>
      </c>
      <c r="BK48" s="444">
        <v>0</v>
      </c>
    </row>
    <row r="49" spans="1:63" ht="14.5" x14ac:dyDescent="0.35">
      <c r="A49" s="454">
        <v>145982</v>
      </c>
      <c r="B49" s="454">
        <v>8312023</v>
      </c>
      <c r="C49" s="455" t="s">
        <v>105</v>
      </c>
      <c r="D49" s="431" t="s">
        <v>265</v>
      </c>
      <c r="E49" s="456" t="s">
        <v>767</v>
      </c>
      <c r="F49" s="457">
        <v>1</v>
      </c>
      <c r="G49" s="444">
        <v>0</v>
      </c>
      <c r="H49" s="444">
        <v>0</v>
      </c>
      <c r="I49" s="444">
        <v>7</v>
      </c>
      <c r="J49" s="444">
        <v>0</v>
      </c>
      <c r="K49" s="444">
        <v>0</v>
      </c>
      <c r="L49" s="444">
        <v>0</v>
      </c>
      <c r="M49" s="444">
        <v>126</v>
      </c>
      <c r="N49" s="444">
        <v>126</v>
      </c>
      <c r="O49" s="444">
        <v>13</v>
      </c>
      <c r="P49" s="444">
        <v>113</v>
      </c>
      <c r="Q49" s="444">
        <v>0</v>
      </c>
      <c r="R49" s="444">
        <v>0</v>
      </c>
      <c r="S49" s="444">
        <v>0</v>
      </c>
      <c r="T49" s="444">
        <v>0</v>
      </c>
      <c r="U49" s="444">
        <v>0</v>
      </c>
      <c r="V49" s="444">
        <v>0</v>
      </c>
      <c r="W49" s="444">
        <v>0</v>
      </c>
      <c r="X49" s="444">
        <v>0</v>
      </c>
      <c r="Y49" s="444">
        <v>18</v>
      </c>
      <c r="Z49" s="444">
        <v>81.999999999999901</v>
      </c>
      <c r="AA49" s="444">
        <v>82.999999999999915</v>
      </c>
      <c r="AB49" s="444">
        <v>0</v>
      </c>
      <c r="AC49" s="444">
        <v>0</v>
      </c>
      <c r="AD49" s="444">
        <v>13.999999999999986</v>
      </c>
      <c r="AE49" s="444">
        <v>2.9999999999999991</v>
      </c>
      <c r="AF49" s="444">
        <v>8.9999999999999964</v>
      </c>
      <c r="AG49" s="444">
        <v>8.9999999999999964</v>
      </c>
      <c r="AH49" s="444">
        <v>1.9999999999999907</v>
      </c>
      <c r="AI49" s="444">
        <v>85.999999999999929</v>
      </c>
      <c r="AJ49" s="444">
        <v>2.9999999999999991</v>
      </c>
      <c r="AK49" s="444">
        <v>0</v>
      </c>
      <c r="AL49" s="444">
        <v>0</v>
      </c>
      <c r="AM49" s="444">
        <v>0</v>
      </c>
      <c r="AN49" s="444">
        <v>0</v>
      </c>
      <c r="AO49" s="444">
        <v>0</v>
      </c>
      <c r="AP49" s="444">
        <v>0</v>
      </c>
      <c r="AQ49" s="444">
        <v>0</v>
      </c>
      <c r="AR49" s="444">
        <v>44.601769911504334</v>
      </c>
      <c r="AS49" s="444">
        <v>0</v>
      </c>
      <c r="AT49" s="444">
        <v>52.36915662650599</v>
      </c>
      <c r="AU49" s="444">
        <v>0</v>
      </c>
      <c r="AV49" s="444">
        <v>0</v>
      </c>
      <c r="AW49" s="444">
        <v>0</v>
      </c>
      <c r="AX49" s="444">
        <v>0</v>
      </c>
      <c r="AY49" s="444">
        <v>0</v>
      </c>
      <c r="AZ49" s="444">
        <v>0</v>
      </c>
      <c r="BA49" s="444">
        <v>20.439999999999969</v>
      </c>
      <c r="BB49" s="444">
        <v>0</v>
      </c>
      <c r="BC49" s="444">
        <v>0.69699999999999995</v>
      </c>
      <c r="BD49" s="444">
        <v>0</v>
      </c>
      <c r="BE49" s="444">
        <v>0.31775700934579432</v>
      </c>
      <c r="BF49" s="444">
        <v>0</v>
      </c>
      <c r="BG49" s="444">
        <v>0</v>
      </c>
      <c r="BH49" s="458">
        <v>1</v>
      </c>
      <c r="BI49" s="444">
        <v>0</v>
      </c>
      <c r="BJ49" s="444">
        <v>1</v>
      </c>
      <c r="BK49" s="444">
        <v>0</v>
      </c>
    </row>
    <row r="50" spans="1:63" ht="14.5" x14ac:dyDescent="0.35">
      <c r="A50" s="454">
        <v>147307</v>
      </c>
      <c r="B50" s="454">
        <v>8312024</v>
      </c>
      <c r="C50" s="455" t="s">
        <v>106</v>
      </c>
      <c r="D50" s="431" t="s">
        <v>265</v>
      </c>
      <c r="E50" s="456" t="s">
        <v>767</v>
      </c>
      <c r="F50" s="457">
        <v>1</v>
      </c>
      <c r="G50" s="444">
        <v>0</v>
      </c>
      <c r="H50" s="444">
        <v>0</v>
      </c>
      <c r="I50" s="444">
        <v>7</v>
      </c>
      <c r="J50" s="444">
        <v>0</v>
      </c>
      <c r="K50" s="444">
        <v>0</v>
      </c>
      <c r="L50" s="444">
        <v>0</v>
      </c>
      <c r="M50" s="444">
        <v>206</v>
      </c>
      <c r="N50" s="444">
        <v>206</v>
      </c>
      <c r="O50" s="444">
        <v>30</v>
      </c>
      <c r="P50" s="444">
        <v>176</v>
      </c>
      <c r="Q50" s="444">
        <v>0</v>
      </c>
      <c r="R50" s="444">
        <v>0</v>
      </c>
      <c r="S50" s="444">
        <v>0</v>
      </c>
      <c r="T50" s="444">
        <v>0</v>
      </c>
      <c r="U50" s="444">
        <v>0</v>
      </c>
      <c r="V50" s="444">
        <v>0</v>
      </c>
      <c r="W50" s="444">
        <v>0</v>
      </c>
      <c r="X50" s="444">
        <v>0</v>
      </c>
      <c r="Y50" s="444">
        <v>29.428571428571427</v>
      </c>
      <c r="Z50" s="444">
        <v>54.999999999999815</v>
      </c>
      <c r="AA50" s="444">
        <v>55.999999999999851</v>
      </c>
      <c r="AB50" s="444">
        <v>0</v>
      </c>
      <c r="AC50" s="444">
        <v>0</v>
      </c>
      <c r="AD50" s="444">
        <v>184.99999999999989</v>
      </c>
      <c r="AE50" s="444">
        <v>17</v>
      </c>
      <c r="AF50" s="444">
        <v>0.999999999999999</v>
      </c>
      <c r="AG50" s="444">
        <v>0</v>
      </c>
      <c r="AH50" s="444">
        <v>2.9999999999999991</v>
      </c>
      <c r="AI50" s="444">
        <v>0</v>
      </c>
      <c r="AJ50" s="444">
        <v>0</v>
      </c>
      <c r="AK50" s="444">
        <v>0</v>
      </c>
      <c r="AL50" s="444">
        <v>0</v>
      </c>
      <c r="AM50" s="444">
        <v>0</v>
      </c>
      <c r="AN50" s="444">
        <v>0</v>
      </c>
      <c r="AO50" s="444">
        <v>0</v>
      </c>
      <c r="AP50" s="444">
        <v>0</v>
      </c>
      <c r="AQ50" s="444">
        <v>0</v>
      </c>
      <c r="AR50" s="444">
        <v>17.556818181818176</v>
      </c>
      <c r="AS50" s="444">
        <v>0</v>
      </c>
      <c r="AT50" s="444">
        <v>60.597662893107994</v>
      </c>
      <c r="AU50" s="444">
        <v>0</v>
      </c>
      <c r="AV50" s="444">
        <v>0</v>
      </c>
      <c r="AW50" s="444">
        <v>0</v>
      </c>
      <c r="AX50" s="444">
        <v>0</v>
      </c>
      <c r="AY50" s="444">
        <v>0</v>
      </c>
      <c r="AZ50" s="444">
        <v>0</v>
      </c>
      <c r="BA50" s="444">
        <v>5.6399999999999952</v>
      </c>
      <c r="BB50" s="444">
        <v>0</v>
      </c>
      <c r="BC50" s="444">
        <v>1.2250000000000001</v>
      </c>
      <c r="BD50" s="444">
        <v>0</v>
      </c>
      <c r="BE50" s="444">
        <v>0</v>
      </c>
      <c r="BF50" s="444">
        <v>0</v>
      </c>
      <c r="BG50" s="444">
        <v>0</v>
      </c>
      <c r="BH50" s="458">
        <v>1</v>
      </c>
      <c r="BI50" s="444">
        <v>0</v>
      </c>
      <c r="BJ50" s="444">
        <v>1</v>
      </c>
      <c r="BK50" s="444">
        <v>0</v>
      </c>
    </row>
    <row r="51" spans="1:63" ht="14.5" x14ac:dyDescent="0.35">
      <c r="A51" s="454">
        <v>147725</v>
      </c>
      <c r="B51" s="454">
        <v>8312025</v>
      </c>
      <c r="C51" s="455" t="s">
        <v>107</v>
      </c>
      <c r="D51" s="431" t="s">
        <v>265</v>
      </c>
      <c r="E51" s="456" t="s">
        <v>767</v>
      </c>
      <c r="F51" s="457">
        <v>1</v>
      </c>
      <c r="G51" s="444">
        <v>0</v>
      </c>
      <c r="H51" s="444">
        <v>0</v>
      </c>
      <c r="I51" s="444">
        <v>4</v>
      </c>
      <c r="J51" s="444">
        <v>0</v>
      </c>
      <c r="K51" s="444">
        <v>0</v>
      </c>
      <c r="L51" s="444">
        <v>0</v>
      </c>
      <c r="M51" s="444">
        <v>220</v>
      </c>
      <c r="N51" s="444">
        <v>220</v>
      </c>
      <c r="O51" s="444">
        <v>0</v>
      </c>
      <c r="P51" s="444">
        <v>220</v>
      </c>
      <c r="Q51" s="444">
        <v>0</v>
      </c>
      <c r="R51" s="444">
        <v>0</v>
      </c>
      <c r="S51" s="444">
        <v>0</v>
      </c>
      <c r="T51" s="444">
        <v>0</v>
      </c>
      <c r="U51" s="444">
        <v>0</v>
      </c>
      <c r="V51" s="444">
        <v>0</v>
      </c>
      <c r="W51" s="444">
        <v>0</v>
      </c>
      <c r="X51" s="444">
        <v>0</v>
      </c>
      <c r="Y51" s="444">
        <v>55</v>
      </c>
      <c r="Z51" s="444">
        <v>70.999999999999829</v>
      </c>
      <c r="AA51" s="444">
        <v>70.999999999999829</v>
      </c>
      <c r="AB51" s="444">
        <v>0</v>
      </c>
      <c r="AC51" s="444">
        <v>0</v>
      </c>
      <c r="AD51" s="444">
        <v>162.73972602739721</v>
      </c>
      <c r="AE51" s="444">
        <v>9.0410958904109577</v>
      </c>
      <c r="AF51" s="444">
        <v>23.10502283105016</v>
      </c>
      <c r="AG51" s="444">
        <v>13.059360730593607</v>
      </c>
      <c r="AH51" s="444">
        <v>9.0410958904109577</v>
      </c>
      <c r="AI51" s="444">
        <v>0</v>
      </c>
      <c r="AJ51" s="444">
        <v>3.0136986301369859</v>
      </c>
      <c r="AK51" s="444">
        <v>0</v>
      </c>
      <c r="AL51" s="444">
        <v>0</v>
      </c>
      <c r="AM51" s="444">
        <v>0</v>
      </c>
      <c r="AN51" s="444">
        <v>0</v>
      </c>
      <c r="AO51" s="444">
        <v>0</v>
      </c>
      <c r="AP51" s="444">
        <v>0</v>
      </c>
      <c r="AQ51" s="444">
        <v>0</v>
      </c>
      <c r="AR51" s="444">
        <v>56.999999999999979</v>
      </c>
      <c r="AS51" s="444">
        <v>0</v>
      </c>
      <c r="AT51" s="444">
        <v>77.053929532232175</v>
      </c>
      <c r="AU51" s="444">
        <v>0</v>
      </c>
      <c r="AV51" s="444">
        <v>0</v>
      </c>
      <c r="AW51" s="444">
        <v>0</v>
      </c>
      <c r="AX51" s="444">
        <v>0</v>
      </c>
      <c r="AY51" s="444">
        <v>0</v>
      </c>
      <c r="AZ51" s="444">
        <v>0</v>
      </c>
      <c r="BA51" s="444">
        <v>8.8000000000000025</v>
      </c>
      <c r="BB51" s="444">
        <v>0</v>
      </c>
      <c r="BC51" s="444">
        <v>0.82899999999999996</v>
      </c>
      <c r="BD51" s="444">
        <v>0</v>
      </c>
      <c r="BE51" s="444">
        <v>0</v>
      </c>
      <c r="BF51" s="444">
        <v>0</v>
      </c>
      <c r="BG51" s="444">
        <v>0</v>
      </c>
      <c r="BH51" s="458">
        <v>1</v>
      </c>
      <c r="BI51" s="444">
        <v>0</v>
      </c>
      <c r="BJ51" s="444">
        <v>1</v>
      </c>
      <c r="BK51" s="444">
        <v>0</v>
      </c>
    </row>
    <row r="52" spans="1:63" ht="14.5" x14ac:dyDescent="0.35">
      <c r="A52" s="454">
        <v>148384</v>
      </c>
      <c r="B52" s="454">
        <v>8312026</v>
      </c>
      <c r="C52" s="455" t="s">
        <v>108</v>
      </c>
      <c r="D52" s="431" t="s">
        <v>265</v>
      </c>
      <c r="E52" s="456" t="s">
        <v>767</v>
      </c>
      <c r="F52" s="457">
        <v>1</v>
      </c>
      <c r="G52" s="444">
        <v>0</v>
      </c>
      <c r="H52" s="444">
        <v>0</v>
      </c>
      <c r="I52" s="444">
        <v>7</v>
      </c>
      <c r="J52" s="444">
        <v>0</v>
      </c>
      <c r="K52" s="444">
        <v>0</v>
      </c>
      <c r="L52" s="444">
        <v>0</v>
      </c>
      <c r="M52" s="444">
        <v>442</v>
      </c>
      <c r="N52" s="444">
        <v>442</v>
      </c>
      <c r="O52" s="444">
        <v>58</v>
      </c>
      <c r="P52" s="444">
        <v>384</v>
      </c>
      <c r="Q52" s="444">
        <v>0</v>
      </c>
      <c r="R52" s="444">
        <v>0</v>
      </c>
      <c r="S52" s="444">
        <v>0</v>
      </c>
      <c r="T52" s="444">
        <v>0</v>
      </c>
      <c r="U52" s="444">
        <v>0</v>
      </c>
      <c r="V52" s="444">
        <v>0</v>
      </c>
      <c r="W52" s="444">
        <v>0</v>
      </c>
      <c r="X52" s="444">
        <v>0</v>
      </c>
      <c r="Y52" s="444">
        <v>63.142857142857146</v>
      </c>
      <c r="Z52" s="444">
        <v>154.99999999999991</v>
      </c>
      <c r="AA52" s="444">
        <v>163.9999999999998</v>
      </c>
      <c r="AB52" s="444">
        <v>0</v>
      </c>
      <c r="AC52" s="444">
        <v>0</v>
      </c>
      <c r="AD52" s="444">
        <v>53.120181405895423</v>
      </c>
      <c r="AE52" s="444">
        <v>236.53514739229004</v>
      </c>
      <c r="AF52" s="444">
        <v>40.09070294784577</v>
      </c>
      <c r="AG52" s="444">
        <v>6.013605442176849</v>
      </c>
      <c r="AH52" s="444">
        <v>48.108843537414529</v>
      </c>
      <c r="AI52" s="444">
        <v>9.0204081632652962</v>
      </c>
      <c r="AJ52" s="444">
        <v>49.111111111111057</v>
      </c>
      <c r="AK52" s="444">
        <v>0</v>
      </c>
      <c r="AL52" s="444">
        <v>0</v>
      </c>
      <c r="AM52" s="444">
        <v>0</v>
      </c>
      <c r="AN52" s="444">
        <v>0</v>
      </c>
      <c r="AO52" s="444">
        <v>0</v>
      </c>
      <c r="AP52" s="444">
        <v>0</v>
      </c>
      <c r="AQ52" s="444">
        <v>0</v>
      </c>
      <c r="AR52" s="444">
        <v>98.989583333333186</v>
      </c>
      <c r="AS52" s="444">
        <v>0</v>
      </c>
      <c r="AT52" s="444">
        <v>190.49617587147844</v>
      </c>
      <c r="AU52" s="444">
        <v>0</v>
      </c>
      <c r="AV52" s="444">
        <v>0</v>
      </c>
      <c r="AW52" s="444">
        <v>0</v>
      </c>
      <c r="AX52" s="444">
        <v>0</v>
      </c>
      <c r="AY52" s="444">
        <v>0</v>
      </c>
      <c r="AZ52" s="444">
        <v>0</v>
      </c>
      <c r="BA52" s="444">
        <v>3.4799999999999924</v>
      </c>
      <c r="BB52" s="444">
        <v>0</v>
      </c>
      <c r="BC52" s="444">
        <v>0.8</v>
      </c>
      <c r="BD52" s="444">
        <v>0</v>
      </c>
      <c r="BE52" s="444">
        <v>0</v>
      </c>
      <c r="BF52" s="444">
        <v>0</v>
      </c>
      <c r="BG52" s="444">
        <v>0</v>
      </c>
      <c r="BH52" s="458">
        <v>1</v>
      </c>
      <c r="BI52" s="444">
        <v>0</v>
      </c>
      <c r="BJ52" s="444">
        <v>1</v>
      </c>
      <c r="BK52" s="444">
        <v>0</v>
      </c>
    </row>
    <row r="53" spans="1:63" ht="14.5" x14ac:dyDescent="0.35">
      <c r="A53" s="454">
        <v>148585</v>
      </c>
      <c r="B53" s="454">
        <v>8312027</v>
      </c>
      <c r="C53" s="455" t="s">
        <v>109</v>
      </c>
      <c r="D53" s="431" t="s">
        <v>265</v>
      </c>
      <c r="E53" s="456" t="s">
        <v>767</v>
      </c>
      <c r="F53" s="457">
        <v>1</v>
      </c>
      <c r="G53" s="444">
        <v>0</v>
      </c>
      <c r="H53" s="444">
        <v>0</v>
      </c>
      <c r="I53" s="444">
        <v>6</v>
      </c>
      <c r="J53" s="444">
        <v>0</v>
      </c>
      <c r="K53" s="444">
        <v>0</v>
      </c>
      <c r="L53" s="444">
        <v>0</v>
      </c>
      <c r="M53" s="444">
        <v>166.5</v>
      </c>
      <c r="N53" s="444">
        <v>166.5</v>
      </c>
      <c r="O53" s="444">
        <v>29.583333333333336</v>
      </c>
      <c r="P53" s="444">
        <v>136.91666666666669</v>
      </c>
      <c r="Q53" s="444">
        <v>0</v>
      </c>
      <c r="R53" s="444">
        <v>0</v>
      </c>
      <c r="S53" s="444">
        <v>0</v>
      </c>
      <c r="T53" s="444">
        <v>0</v>
      </c>
      <c r="U53" s="444">
        <v>0</v>
      </c>
      <c r="V53" s="444">
        <v>0</v>
      </c>
      <c r="W53" s="444">
        <v>0</v>
      </c>
      <c r="X53" s="444">
        <v>0</v>
      </c>
      <c r="Y53" s="444">
        <v>27.75</v>
      </c>
      <c r="Z53" s="444">
        <v>30.171140939597286</v>
      </c>
      <c r="AA53" s="444">
        <v>30.171140939597286</v>
      </c>
      <c r="AB53" s="444">
        <v>0</v>
      </c>
      <c r="AC53" s="444">
        <v>0</v>
      </c>
      <c r="AD53" s="444">
        <v>4.4999999999999956</v>
      </c>
      <c r="AE53" s="444">
        <v>4.4999999999999956</v>
      </c>
      <c r="AF53" s="444">
        <v>119.24999999999997</v>
      </c>
      <c r="AG53" s="444">
        <v>3.374999999999988</v>
      </c>
      <c r="AH53" s="444">
        <v>20.249999999999897</v>
      </c>
      <c r="AI53" s="444">
        <v>2.2499999999999978</v>
      </c>
      <c r="AJ53" s="444">
        <v>12.374999999999996</v>
      </c>
      <c r="AK53" s="444">
        <v>0</v>
      </c>
      <c r="AL53" s="444">
        <v>0</v>
      </c>
      <c r="AM53" s="444">
        <v>0</v>
      </c>
      <c r="AN53" s="444">
        <v>0</v>
      </c>
      <c r="AO53" s="444">
        <v>0</v>
      </c>
      <c r="AP53" s="444">
        <v>0</v>
      </c>
      <c r="AQ53" s="444">
        <v>0</v>
      </c>
      <c r="AR53" s="444">
        <v>112.3875</v>
      </c>
      <c r="AS53" s="444">
        <v>0</v>
      </c>
      <c r="AT53" s="444">
        <v>107.7352941176471</v>
      </c>
      <c r="AU53" s="444">
        <v>0</v>
      </c>
      <c r="AV53" s="444">
        <v>0</v>
      </c>
      <c r="AW53" s="444">
        <v>0</v>
      </c>
      <c r="AX53" s="444">
        <v>0</v>
      </c>
      <c r="AY53" s="444">
        <v>0</v>
      </c>
      <c r="AZ53" s="444">
        <v>0</v>
      </c>
      <c r="BA53" s="444">
        <v>26.885838926174479</v>
      </c>
      <c r="BB53" s="444">
        <v>0</v>
      </c>
      <c r="BC53" s="444">
        <v>0.65</v>
      </c>
      <c r="BD53" s="444">
        <v>0</v>
      </c>
      <c r="BE53" s="444">
        <v>0</v>
      </c>
      <c r="BF53" s="444">
        <v>0</v>
      </c>
      <c r="BG53" s="444">
        <v>0</v>
      </c>
      <c r="BH53" s="458">
        <v>1</v>
      </c>
      <c r="BI53" s="444">
        <v>0</v>
      </c>
      <c r="BJ53" s="444">
        <v>1</v>
      </c>
      <c r="BK53" s="444">
        <v>0</v>
      </c>
    </row>
    <row r="54" spans="1:63" ht="14.5" x14ac:dyDescent="0.35">
      <c r="A54" s="454">
        <v>149747</v>
      </c>
      <c r="B54" s="454">
        <v>8312028</v>
      </c>
      <c r="C54" s="455" t="s">
        <v>151</v>
      </c>
      <c r="D54" s="431" t="s">
        <v>265</v>
      </c>
      <c r="E54" s="456" t="s">
        <v>767</v>
      </c>
      <c r="F54" s="457">
        <v>1</v>
      </c>
      <c r="G54" s="444">
        <v>0</v>
      </c>
      <c r="H54" s="444">
        <v>0</v>
      </c>
      <c r="I54" s="444">
        <v>4</v>
      </c>
      <c r="J54" s="444">
        <v>0</v>
      </c>
      <c r="K54" s="444">
        <v>0</v>
      </c>
      <c r="L54" s="444">
        <v>0</v>
      </c>
      <c r="M54" s="444">
        <v>106.25000000000001</v>
      </c>
      <c r="N54" s="444">
        <v>106.25000000000001</v>
      </c>
      <c r="O54" s="444">
        <v>37.916666666666671</v>
      </c>
      <c r="P54" s="444">
        <v>68.333333333333343</v>
      </c>
      <c r="Q54" s="444">
        <v>0</v>
      </c>
      <c r="R54" s="444">
        <v>0</v>
      </c>
      <c r="S54" s="444">
        <v>0</v>
      </c>
      <c r="T54" s="444">
        <v>0</v>
      </c>
      <c r="U54" s="444">
        <v>0</v>
      </c>
      <c r="V54" s="444">
        <v>0</v>
      </c>
      <c r="W54" s="444">
        <v>0</v>
      </c>
      <c r="X54" s="444">
        <v>0</v>
      </c>
      <c r="Y54" s="444">
        <v>26.562500000000004</v>
      </c>
      <c r="Z54" s="444">
        <v>22.578125000000004</v>
      </c>
      <c r="AA54" s="444">
        <v>22.578125000000004</v>
      </c>
      <c r="AB54" s="444">
        <v>0</v>
      </c>
      <c r="AC54" s="444">
        <v>0</v>
      </c>
      <c r="AD54" s="444">
        <v>63.212025316455652</v>
      </c>
      <c r="AE54" s="444">
        <v>13.449367088607527</v>
      </c>
      <c r="AF54" s="444">
        <v>14.794303797468258</v>
      </c>
      <c r="AG54" s="444">
        <v>0</v>
      </c>
      <c r="AH54" s="444">
        <v>2.689873417721516</v>
      </c>
      <c r="AI54" s="444">
        <v>1.3449367088607527</v>
      </c>
      <c r="AJ54" s="444">
        <v>10.759493670886064</v>
      </c>
      <c r="AK54" s="444">
        <v>0</v>
      </c>
      <c r="AL54" s="444">
        <v>0</v>
      </c>
      <c r="AM54" s="444">
        <v>0</v>
      </c>
      <c r="AN54" s="444">
        <v>0</v>
      </c>
      <c r="AO54" s="444">
        <v>0</v>
      </c>
      <c r="AP54" s="444">
        <v>0</v>
      </c>
      <c r="AQ54" s="444">
        <v>0</v>
      </c>
      <c r="AR54" s="444">
        <v>14.302884615384551</v>
      </c>
      <c r="AS54" s="444">
        <v>0</v>
      </c>
      <c r="AT54" s="444">
        <v>33.333333333333293</v>
      </c>
      <c r="AU54" s="444">
        <v>0</v>
      </c>
      <c r="AV54" s="444">
        <v>0</v>
      </c>
      <c r="AW54" s="444">
        <v>0</v>
      </c>
      <c r="AX54" s="444">
        <v>0</v>
      </c>
      <c r="AY54" s="444">
        <v>0</v>
      </c>
      <c r="AZ54" s="444">
        <v>0</v>
      </c>
      <c r="BA54" s="444">
        <v>1.5937500000000002</v>
      </c>
      <c r="BB54" s="444">
        <v>0</v>
      </c>
      <c r="BC54" s="444">
        <v>0.55900000000000005</v>
      </c>
      <c r="BD54" s="444">
        <v>0</v>
      </c>
      <c r="BE54" s="444">
        <v>0</v>
      </c>
      <c r="BF54" s="444">
        <v>0</v>
      </c>
      <c r="BG54" s="444">
        <v>0</v>
      </c>
      <c r="BH54" s="458">
        <v>1</v>
      </c>
      <c r="BI54" s="444">
        <v>0</v>
      </c>
      <c r="BJ54" s="444">
        <v>1</v>
      </c>
      <c r="BK54" s="444">
        <v>0</v>
      </c>
    </row>
    <row r="55" spans="1:63" ht="14.5" x14ac:dyDescent="0.35">
      <c r="A55" s="454">
        <v>150481</v>
      </c>
      <c r="B55" s="454">
        <v>8312029</v>
      </c>
      <c r="C55" s="455" t="s">
        <v>97</v>
      </c>
      <c r="D55" s="431" t="s">
        <v>265</v>
      </c>
      <c r="E55" s="456" t="s">
        <v>767</v>
      </c>
      <c r="F55" s="457">
        <v>1</v>
      </c>
      <c r="G55" s="444">
        <v>0</v>
      </c>
      <c r="H55" s="444">
        <v>0</v>
      </c>
      <c r="I55" s="444">
        <v>7</v>
      </c>
      <c r="J55" s="444">
        <v>0</v>
      </c>
      <c r="K55" s="444">
        <v>0</v>
      </c>
      <c r="L55" s="444">
        <v>0</v>
      </c>
      <c r="M55" s="444">
        <v>192</v>
      </c>
      <c r="N55" s="444">
        <v>192</v>
      </c>
      <c r="O55" s="444">
        <v>26</v>
      </c>
      <c r="P55" s="444">
        <v>166</v>
      </c>
      <c r="Q55" s="444">
        <v>0</v>
      </c>
      <c r="R55" s="444">
        <v>0</v>
      </c>
      <c r="S55" s="444">
        <v>0</v>
      </c>
      <c r="T55" s="444">
        <v>0</v>
      </c>
      <c r="U55" s="444">
        <v>0</v>
      </c>
      <c r="V55" s="444">
        <v>0</v>
      </c>
      <c r="W55" s="444">
        <v>0</v>
      </c>
      <c r="X55" s="444">
        <v>0</v>
      </c>
      <c r="Y55" s="444">
        <v>27.428571428571427</v>
      </c>
      <c r="Z55" s="444">
        <v>55.999999999999872</v>
      </c>
      <c r="AA55" s="444">
        <v>57</v>
      </c>
      <c r="AB55" s="444">
        <v>0</v>
      </c>
      <c r="AC55" s="444">
        <v>0</v>
      </c>
      <c r="AD55" s="444">
        <v>78.999999999999929</v>
      </c>
      <c r="AE55" s="444">
        <v>0</v>
      </c>
      <c r="AF55" s="444">
        <v>22.999999999999872</v>
      </c>
      <c r="AG55" s="444">
        <v>33</v>
      </c>
      <c r="AH55" s="444">
        <v>18.999999999999993</v>
      </c>
      <c r="AI55" s="444">
        <v>36.999999999999936</v>
      </c>
      <c r="AJ55" s="444">
        <v>0.99999999999999933</v>
      </c>
      <c r="AK55" s="444">
        <v>0</v>
      </c>
      <c r="AL55" s="444">
        <v>0</v>
      </c>
      <c r="AM55" s="444">
        <v>0</v>
      </c>
      <c r="AN55" s="444">
        <v>0</v>
      </c>
      <c r="AO55" s="444">
        <v>0</v>
      </c>
      <c r="AP55" s="444">
        <v>0</v>
      </c>
      <c r="AQ55" s="444">
        <v>0</v>
      </c>
      <c r="AR55" s="444">
        <v>91.373493975903557</v>
      </c>
      <c r="AS55" s="444">
        <v>0</v>
      </c>
      <c r="AT55" s="444">
        <v>76.722600151171576</v>
      </c>
      <c r="AU55" s="444">
        <v>0</v>
      </c>
      <c r="AV55" s="444">
        <v>0</v>
      </c>
      <c r="AW55" s="444">
        <v>0</v>
      </c>
      <c r="AX55" s="444">
        <v>0</v>
      </c>
      <c r="AY55" s="444">
        <v>0</v>
      </c>
      <c r="AZ55" s="444">
        <v>0</v>
      </c>
      <c r="BA55" s="444">
        <v>15.621361256544382</v>
      </c>
      <c r="BB55" s="444">
        <v>0</v>
      </c>
      <c r="BC55" s="444">
        <v>0.65400000000000003</v>
      </c>
      <c r="BD55" s="444">
        <v>0</v>
      </c>
      <c r="BE55" s="444">
        <v>0</v>
      </c>
      <c r="BF55" s="444">
        <v>0</v>
      </c>
      <c r="BG55" s="444">
        <v>0</v>
      </c>
      <c r="BH55" s="458">
        <v>1</v>
      </c>
      <c r="BI55" s="444">
        <v>0</v>
      </c>
      <c r="BJ55" s="444">
        <v>1</v>
      </c>
      <c r="BK55" s="444">
        <v>0</v>
      </c>
    </row>
    <row r="56" spans="1:63" ht="14.5" x14ac:dyDescent="0.35">
      <c r="A56" s="454">
        <v>146879</v>
      </c>
      <c r="B56" s="454">
        <v>8312440</v>
      </c>
      <c r="C56" s="455" t="s">
        <v>110</v>
      </c>
      <c r="D56" s="431" t="s">
        <v>265</v>
      </c>
      <c r="E56" s="456" t="s">
        <v>767</v>
      </c>
      <c r="F56" s="457">
        <v>1</v>
      </c>
      <c r="G56" s="444">
        <v>0</v>
      </c>
      <c r="H56" s="444">
        <v>0</v>
      </c>
      <c r="I56" s="444">
        <v>4</v>
      </c>
      <c r="J56" s="444">
        <v>0</v>
      </c>
      <c r="K56" s="444">
        <v>0</v>
      </c>
      <c r="L56" s="444">
        <v>0</v>
      </c>
      <c r="M56" s="444">
        <v>292</v>
      </c>
      <c r="N56" s="444">
        <v>292</v>
      </c>
      <c r="O56" s="444">
        <v>0</v>
      </c>
      <c r="P56" s="444">
        <v>292</v>
      </c>
      <c r="Q56" s="444">
        <v>0</v>
      </c>
      <c r="R56" s="444">
        <v>0</v>
      </c>
      <c r="S56" s="444">
        <v>0</v>
      </c>
      <c r="T56" s="444">
        <v>0</v>
      </c>
      <c r="U56" s="444">
        <v>0</v>
      </c>
      <c r="V56" s="444">
        <v>0</v>
      </c>
      <c r="W56" s="444">
        <v>0</v>
      </c>
      <c r="X56" s="444">
        <v>0</v>
      </c>
      <c r="Y56" s="444">
        <v>73</v>
      </c>
      <c r="Z56" s="444">
        <v>55.999999999999929</v>
      </c>
      <c r="AA56" s="444">
        <v>55.999999999999929</v>
      </c>
      <c r="AB56" s="444">
        <v>0</v>
      </c>
      <c r="AC56" s="444">
        <v>0</v>
      </c>
      <c r="AD56" s="444">
        <v>242.99999999999977</v>
      </c>
      <c r="AE56" s="444">
        <v>24</v>
      </c>
      <c r="AF56" s="444">
        <v>12.999999999999977</v>
      </c>
      <c r="AG56" s="444">
        <v>4.9999999999999778</v>
      </c>
      <c r="AH56" s="444">
        <v>2.9999999999999925</v>
      </c>
      <c r="AI56" s="444">
        <v>2.9999999999999925</v>
      </c>
      <c r="AJ56" s="444">
        <v>0.99999999999999845</v>
      </c>
      <c r="AK56" s="444">
        <v>0</v>
      </c>
      <c r="AL56" s="444">
        <v>0</v>
      </c>
      <c r="AM56" s="444">
        <v>0</v>
      </c>
      <c r="AN56" s="444">
        <v>0</v>
      </c>
      <c r="AO56" s="444">
        <v>0</v>
      </c>
      <c r="AP56" s="444">
        <v>0</v>
      </c>
      <c r="AQ56" s="444">
        <v>0</v>
      </c>
      <c r="AR56" s="444">
        <v>8.9999999999999769</v>
      </c>
      <c r="AS56" s="444">
        <v>0</v>
      </c>
      <c r="AT56" s="444">
        <v>79.146018858402897</v>
      </c>
      <c r="AU56" s="444">
        <v>0</v>
      </c>
      <c r="AV56" s="444">
        <v>0</v>
      </c>
      <c r="AW56" s="444">
        <v>0</v>
      </c>
      <c r="AX56" s="444">
        <v>0</v>
      </c>
      <c r="AY56" s="444">
        <v>0</v>
      </c>
      <c r="AZ56" s="444">
        <v>0</v>
      </c>
      <c r="BA56" s="444">
        <v>0</v>
      </c>
      <c r="BB56" s="444">
        <v>0</v>
      </c>
      <c r="BC56" s="444">
        <v>1.044</v>
      </c>
      <c r="BD56" s="444">
        <v>0</v>
      </c>
      <c r="BE56" s="444">
        <v>0</v>
      </c>
      <c r="BF56" s="444">
        <v>0</v>
      </c>
      <c r="BG56" s="444">
        <v>0</v>
      </c>
      <c r="BH56" s="458">
        <v>1</v>
      </c>
      <c r="BI56" s="444">
        <v>0</v>
      </c>
      <c r="BJ56" s="444">
        <v>1</v>
      </c>
      <c r="BK56" s="444">
        <v>0</v>
      </c>
    </row>
    <row r="57" spans="1:63" ht="14.5" x14ac:dyDescent="0.35">
      <c r="A57" s="454">
        <v>145759</v>
      </c>
      <c r="B57" s="454">
        <v>8312442</v>
      </c>
      <c r="C57" s="455" t="s">
        <v>111</v>
      </c>
      <c r="D57" s="431" t="s">
        <v>265</v>
      </c>
      <c r="E57" s="456" t="s">
        <v>767</v>
      </c>
      <c r="F57" s="457">
        <v>1</v>
      </c>
      <c r="G57" s="444">
        <v>0</v>
      </c>
      <c r="H57" s="444">
        <v>0</v>
      </c>
      <c r="I57" s="444">
        <v>4</v>
      </c>
      <c r="J57" s="444">
        <v>0</v>
      </c>
      <c r="K57" s="444">
        <v>0</v>
      </c>
      <c r="L57" s="444">
        <v>0</v>
      </c>
      <c r="M57" s="444">
        <v>331</v>
      </c>
      <c r="N57" s="444">
        <v>331</v>
      </c>
      <c r="O57" s="444">
        <v>0</v>
      </c>
      <c r="P57" s="444">
        <v>331</v>
      </c>
      <c r="Q57" s="444">
        <v>0</v>
      </c>
      <c r="R57" s="444">
        <v>0</v>
      </c>
      <c r="S57" s="444">
        <v>0</v>
      </c>
      <c r="T57" s="444">
        <v>0</v>
      </c>
      <c r="U57" s="444">
        <v>0</v>
      </c>
      <c r="V57" s="444">
        <v>0</v>
      </c>
      <c r="W57" s="444">
        <v>0</v>
      </c>
      <c r="X57" s="444">
        <v>0</v>
      </c>
      <c r="Y57" s="444">
        <v>82.75</v>
      </c>
      <c r="Z57" s="444">
        <v>146.99999999999994</v>
      </c>
      <c r="AA57" s="444">
        <v>152.99999999999974</v>
      </c>
      <c r="AB57" s="444">
        <v>0</v>
      </c>
      <c r="AC57" s="444">
        <v>0</v>
      </c>
      <c r="AD57" s="444">
        <v>123.37272727272703</v>
      </c>
      <c r="AE57" s="444">
        <v>41.124242424242347</v>
      </c>
      <c r="AF57" s="444">
        <v>64.193939393939075</v>
      </c>
      <c r="AG57" s="444">
        <v>1.0030303030303029</v>
      </c>
      <c r="AH57" s="444">
        <v>47.142424242424106</v>
      </c>
      <c r="AI57" s="444">
        <v>20.060606060606059</v>
      </c>
      <c r="AJ57" s="444">
        <v>34.103030303030295</v>
      </c>
      <c r="AK57" s="444">
        <v>0</v>
      </c>
      <c r="AL57" s="444">
        <v>0</v>
      </c>
      <c r="AM57" s="444">
        <v>0</v>
      </c>
      <c r="AN57" s="444">
        <v>0</v>
      </c>
      <c r="AO57" s="444">
        <v>0</v>
      </c>
      <c r="AP57" s="444">
        <v>0</v>
      </c>
      <c r="AQ57" s="444">
        <v>0</v>
      </c>
      <c r="AR57" s="444">
        <v>13.999999999999977</v>
      </c>
      <c r="AS57" s="444">
        <v>0</v>
      </c>
      <c r="AT57" s="444">
        <v>89.982425788058464</v>
      </c>
      <c r="AU57" s="444">
        <v>0</v>
      </c>
      <c r="AV57" s="444">
        <v>0</v>
      </c>
      <c r="AW57" s="444">
        <v>0</v>
      </c>
      <c r="AX57" s="444">
        <v>0</v>
      </c>
      <c r="AY57" s="444">
        <v>0</v>
      </c>
      <c r="AZ57" s="444">
        <v>0</v>
      </c>
      <c r="BA57" s="444">
        <v>0</v>
      </c>
      <c r="BB57" s="444">
        <v>0</v>
      </c>
      <c r="BC57" s="444">
        <v>1.01</v>
      </c>
      <c r="BD57" s="444">
        <v>0</v>
      </c>
      <c r="BE57" s="444">
        <v>0</v>
      </c>
      <c r="BF57" s="444">
        <v>0</v>
      </c>
      <c r="BG57" s="444">
        <v>0</v>
      </c>
      <c r="BH57" s="458">
        <v>1</v>
      </c>
      <c r="BI57" s="444">
        <v>0</v>
      </c>
      <c r="BJ57" s="444">
        <v>1</v>
      </c>
      <c r="BK57" s="444">
        <v>0</v>
      </c>
    </row>
    <row r="58" spans="1:63" ht="14.5" x14ac:dyDescent="0.35">
      <c r="A58" s="454">
        <v>146921</v>
      </c>
      <c r="B58" s="454">
        <v>8312451</v>
      </c>
      <c r="C58" s="455" t="s">
        <v>112</v>
      </c>
      <c r="D58" s="431" t="s">
        <v>265</v>
      </c>
      <c r="E58" s="456" t="s">
        <v>767</v>
      </c>
      <c r="F58" s="457">
        <v>1</v>
      </c>
      <c r="G58" s="444">
        <v>0</v>
      </c>
      <c r="H58" s="444">
        <v>0</v>
      </c>
      <c r="I58" s="444">
        <v>7</v>
      </c>
      <c r="J58" s="444">
        <v>0</v>
      </c>
      <c r="K58" s="444">
        <v>0</v>
      </c>
      <c r="L58" s="444">
        <v>0</v>
      </c>
      <c r="M58" s="444">
        <v>558</v>
      </c>
      <c r="N58" s="444">
        <v>558</v>
      </c>
      <c r="O58" s="444">
        <v>70</v>
      </c>
      <c r="P58" s="444">
        <v>488</v>
      </c>
      <c r="Q58" s="444">
        <v>0</v>
      </c>
      <c r="R58" s="444">
        <v>0</v>
      </c>
      <c r="S58" s="444">
        <v>0</v>
      </c>
      <c r="T58" s="444">
        <v>0</v>
      </c>
      <c r="U58" s="444">
        <v>0</v>
      </c>
      <c r="V58" s="444">
        <v>0</v>
      </c>
      <c r="W58" s="444">
        <v>0</v>
      </c>
      <c r="X58" s="444">
        <v>0</v>
      </c>
      <c r="Y58" s="444">
        <v>79.714285714285708</v>
      </c>
      <c r="Z58" s="444">
        <v>209.99999999999977</v>
      </c>
      <c r="AA58" s="444">
        <v>212.99999999999949</v>
      </c>
      <c r="AB58" s="444">
        <v>0</v>
      </c>
      <c r="AC58" s="444">
        <v>0</v>
      </c>
      <c r="AD58" s="444">
        <v>257</v>
      </c>
      <c r="AE58" s="444">
        <v>51</v>
      </c>
      <c r="AF58" s="444">
        <v>133.99999999999986</v>
      </c>
      <c r="AG58" s="444">
        <v>42.999999999999957</v>
      </c>
      <c r="AH58" s="444">
        <v>49.99999999999995</v>
      </c>
      <c r="AI58" s="444">
        <v>11.999999999999988</v>
      </c>
      <c r="AJ58" s="444">
        <v>10.999999999999989</v>
      </c>
      <c r="AK58" s="444">
        <v>0</v>
      </c>
      <c r="AL58" s="444">
        <v>0</v>
      </c>
      <c r="AM58" s="444">
        <v>0</v>
      </c>
      <c r="AN58" s="444">
        <v>0</v>
      </c>
      <c r="AO58" s="444">
        <v>0</v>
      </c>
      <c r="AP58" s="444">
        <v>0</v>
      </c>
      <c r="AQ58" s="444">
        <v>0</v>
      </c>
      <c r="AR58" s="444">
        <v>33.159836065573757</v>
      </c>
      <c r="AS58" s="444">
        <v>0</v>
      </c>
      <c r="AT58" s="444">
        <v>91.436932169623518</v>
      </c>
      <c r="AU58" s="444">
        <v>0</v>
      </c>
      <c r="AV58" s="444">
        <v>0</v>
      </c>
      <c r="AW58" s="444">
        <v>0</v>
      </c>
      <c r="AX58" s="444">
        <v>0</v>
      </c>
      <c r="AY58" s="444">
        <v>0</v>
      </c>
      <c r="AZ58" s="444">
        <v>0</v>
      </c>
      <c r="BA58" s="444">
        <v>0</v>
      </c>
      <c r="BB58" s="444">
        <v>0</v>
      </c>
      <c r="BC58" s="444">
        <v>0.55900000000000005</v>
      </c>
      <c r="BD58" s="444">
        <v>0</v>
      </c>
      <c r="BE58" s="444">
        <v>0</v>
      </c>
      <c r="BF58" s="444">
        <v>0</v>
      </c>
      <c r="BG58" s="444">
        <v>0</v>
      </c>
      <c r="BH58" s="458">
        <v>1</v>
      </c>
      <c r="BI58" s="444">
        <v>0</v>
      </c>
      <c r="BJ58" s="444">
        <v>1</v>
      </c>
      <c r="BK58" s="444">
        <v>0</v>
      </c>
    </row>
    <row r="59" spans="1:63" ht="14.5" x14ac:dyDescent="0.35">
      <c r="A59" s="454">
        <v>146507</v>
      </c>
      <c r="B59" s="454">
        <v>8312455</v>
      </c>
      <c r="C59" s="455" t="s">
        <v>113</v>
      </c>
      <c r="D59" s="431" t="s">
        <v>265</v>
      </c>
      <c r="E59" s="456" t="s">
        <v>767</v>
      </c>
      <c r="F59" s="457">
        <v>1</v>
      </c>
      <c r="G59" s="444">
        <v>0</v>
      </c>
      <c r="H59" s="444">
        <v>0</v>
      </c>
      <c r="I59" s="444">
        <v>3</v>
      </c>
      <c r="J59" s="444">
        <v>0</v>
      </c>
      <c r="K59" s="444">
        <v>0</v>
      </c>
      <c r="L59" s="444">
        <v>0</v>
      </c>
      <c r="M59" s="444">
        <v>211</v>
      </c>
      <c r="N59" s="444">
        <v>211</v>
      </c>
      <c r="O59" s="444">
        <v>65</v>
      </c>
      <c r="P59" s="444">
        <v>146</v>
      </c>
      <c r="Q59" s="444">
        <v>0</v>
      </c>
      <c r="R59" s="444">
        <v>0</v>
      </c>
      <c r="S59" s="444">
        <v>0</v>
      </c>
      <c r="T59" s="444">
        <v>0</v>
      </c>
      <c r="U59" s="444">
        <v>0</v>
      </c>
      <c r="V59" s="444">
        <v>0</v>
      </c>
      <c r="W59" s="444">
        <v>0</v>
      </c>
      <c r="X59" s="444">
        <v>0</v>
      </c>
      <c r="Y59" s="444">
        <v>70.333333333333329</v>
      </c>
      <c r="Z59" s="444">
        <v>48.999999999999837</v>
      </c>
      <c r="AA59" s="444">
        <v>48.999999999999837</v>
      </c>
      <c r="AB59" s="444">
        <v>0</v>
      </c>
      <c r="AC59" s="444">
        <v>0</v>
      </c>
      <c r="AD59" s="444">
        <v>163.77619047619044</v>
      </c>
      <c r="AE59" s="444">
        <v>34.161904761904573</v>
      </c>
      <c r="AF59" s="444">
        <v>2.0095238095238086</v>
      </c>
      <c r="AG59" s="444">
        <v>0</v>
      </c>
      <c r="AH59" s="444">
        <v>3.0142857142856965</v>
      </c>
      <c r="AI59" s="444">
        <v>3.0142857142856965</v>
      </c>
      <c r="AJ59" s="444">
        <v>5.0238095238095219</v>
      </c>
      <c r="AK59" s="444">
        <v>0</v>
      </c>
      <c r="AL59" s="444">
        <v>0</v>
      </c>
      <c r="AM59" s="444">
        <v>0</v>
      </c>
      <c r="AN59" s="444">
        <v>0</v>
      </c>
      <c r="AO59" s="444">
        <v>0</v>
      </c>
      <c r="AP59" s="444">
        <v>0</v>
      </c>
      <c r="AQ59" s="444">
        <v>0</v>
      </c>
      <c r="AR59" s="444">
        <v>24.568493150684812</v>
      </c>
      <c r="AS59" s="444">
        <v>0</v>
      </c>
      <c r="AT59" s="444">
        <v>82.055555555555586</v>
      </c>
      <c r="AU59" s="444">
        <v>0</v>
      </c>
      <c r="AV59" s="444">
        <v>0</v>
      </c>
      <c r="AW59" s="444">
        <v>0</v>
      </c>
      <c r="AX59" s="444">
        <v>0</v>
      </c>
      <c r="AY59" s="444">
        <v>0</v>
      </c>
      <c r="AZ59" s="444">
        <v>0</v>
      </c>
      <c r="BA59" s="444">
        <v>0</v>
      </c>
      <c r="BB59" s="444">
        <v>0</v>
      </c>
      <c r="BC59" s="444">
        <v>1.038</v>
      </c>
      <c r="BD59" s="444">
        <v>0</v>
      </c>
      <c r="BE59" s="444">
        <v>0</v>
      </c>
      <c r="BF59" s="444">
        <v>0</v>
      </c>
      <c r="BG59" s="444">
        <v>0</v>
      </c>
      <c r="BH59" s="458">
        <v>1</v>
      </c>
      <c r="BI59" s="444">
        <v>0</v>
      </c>
      <c r="BJ59" s="444">
        <v>1</v>
      </c>
      <c r="BK59" s="444">
        <v>0</v>
      </c>
    </row>
    <row r="60" spans="1:63" ht="14.5" x14ac:dyDescent="0.35">
      <c r="A60" s="454">
        <v>147125</v>
      </c>
      <c r="B60" s="454">
        <v>8312456</v>
      </c>
      <c r="C60" s="455" t="s">
        <v>114</v>
      </c>
      <c r="D60" s="431" t="s">
        <v>265</v>
      </c>
      <c r="E60" s="456" t="s">
        <v>767</v>
      </c>
      <c r="F60" s="457">
        <v>1</v>
      </c>
      <c r="G60" s="444">
        <v>0</v>
      </c>
      <c r="H60" s="444">
        <v>0</v>
      </c>
      <c r="I60" s="444">
        <v>3</v>
      </c>
      <c r="J60" s="444">
        <v>0</v>
      </c>
      <c r="K60" s="444">
        <v>0</v>
      </c>
      <c r="L60" s="444">
        <v>0</v>
      </c>
      <c r="M60" s="444">
        <v>150</v>
      </c>
      <c r="N60" s="444">
        <v>150</v>
      </c>
      <c r="O60" s="444">
        <v>45</v>
      </c>
      <c r="P60" s="444">
        <v>105</v>
      </c>
      <c r="Q60" s="444">
        <v>0</v>
      </c>
      <c r="R60" s="444">
        <v>0</v>
      </c>
      <c r="S60" s="444">
        <v>0</v>
      </c>
      <c r="T60" s="444">
        <v>0</v>
      </c>
      <c r="U60" s="444">
        <v>0</v>
      </c>
      <c r="V60" s="444">
        <v>0</v>
      </c>
      <c r="W60" s="444">
        <v>0</v>
      </c>
      <c r="X60" s="444">
        <v>0</v>
      </c>
      <c r="Y60" s="444">
        <v>50</v>
      </c>
      <c r="Z60" s="444">
        <v>39</v>
      </c>
      <c r="AA60" s="444">
        <v>39</v>
      </c>
      <c r="AB60" s="444">
        <v>0</v>
      </c>
      <c r="AC60" s="444">
        <v>0</v>
      </c>
      <c r="AD60" s="444">
        <v>124.99999999999996</v>
      </c>
      <c r="AE60" s="444">
        <v>6</v>
      </c>
      <c r="AF60" s="444">
        <v>7.9999999999999956</v>
      </c>
      <c r="AG60" s="444">
        <v>4.9999999999999947</v>
      </c>
      <c r="AH60" s="444">
        <v>3.9999999999999898</v>
      </c>
      <c r="AI60" s="444">
        <v>1.9999999999999949</v>
      </c>
      <c r="AJ60" s="444">
        <v>0</v>
      </c>
      <c r="AK60" s="444">
        <v>0</v>
      </c>
      <c r="AL60" s="444">
        <v>0</v>
      </c>
      <c r="AM60" s="444">
        <v>0</v>
      </c>
      <c r="AN60" s="444">
        <v>0</v>
      </c>
      <c r="AO60" s="444">
        <v>0</v>
      </c>
      <c r="AP60" s="444">
        <v>0</v>
      </c>
      <c r="AQ60" s="444">
        <v>0</v>
      </c>
      <c r="AR60" s="444">
        <v>72.857142857142748</v>
      </c>
      <c r="AS60" s="444">
        <v>0</v>
      </c>
      <c r="AT60" s="444">
        <v>45.588235294117652</v>
      </c>
      <c r="AU60" s="444">
        <v>0</v>
      </c>
      <c r="AV60" s="444">
        <v>0</v>
      </c>
      <c r="AW60" s="444">
        <v>0</v>
      </c>
      <c r="AX60" s="444">
        <v>0</v>
      </c>
      <c r="AY60" s="444">
        <v>0</v>
      </c>
      <c r="AZ60" s="444">
        <v>0</v>
      </c>
      <c r="BA60" s="444">
        <v>0</v>
      </c>
      <c r="BB60" s="444">
        <v>0</v>
      </c>
      <c r="BC60" s="444">
        <v>0.90600000000000003</v>
      </c>
      <c r="BD60" s="444">
        <v>0</v>
      </c>
      <c r="BE60" s="444">
        <v>0</v>
      </c>
      <c r="BF60" s="444">
        <v>0</v>
      </c>
      <c r="BG60" s="444">
        <v>0</v>
      </c>
      <c r="BH60" s="458">
        <v>1</v>
      </c>
      <c r="BI60" s="444">
        <v>0</v>
      </c>
      <c r="BJ60" s="444">
        <v>1</v>
      </c>
      <c r="BK60" s="444">
        <v>0</v>
      </c>
    </row>
    <row r="61" spans="1:63" ht="14.5" x14ac:dyDescent="0.35">
      <c r="A61" s="454">
        <v>147399</v>
      </c>
      <c r="B61" s="454">
        <v>8312463</v>
      </c>
      <c r="C61" s="455" t="s">
        <v>115</v>
      </c>
      <c r="D61" s="431" t="s">
        <v>265</v>
      </c>
      <c r="E61" s="456" t="s">
        <v>767</v>
      </c>
      <c r="F61" s="457">
        <v>1</v>
      </c>
      <c r="G61" s="444">
        <v>0</v>
      </c>
      <c r="H61" s="444">
        <v>0</v>
      </c>
      <c r="I61" s="444">
        <v>4</v>
      </c>
      <c r="J61" s="444">
        <v>0</v>
      </c>
      <c r="K61" s="444">
        <v>0</v>
      </c>
      <c r="L61" s="444">
        <v>0</v>
      </c>
      <c r="M61" s="444">
        <v>352</v>
      </c>
      <c r="N61" s="444">
        <v>352</v>
      </c>
      <c r="O61" s="444">
        <v>0</v>
      </c>
      <c r="P61" s="444">
        <v>352</v>
      </c>
      <c r="Q61" s="444">
        <v>0</v>
      </c>
      <c r="R61" s="444">
        <v>0</v>
      </c>
      <c r="S61" s="444">
        <v>0</v>
      </c>
      <c r="T61" s="444">
        <v>0</v>
      </c>
      <c r="U61" s="444">
        <v>0</v>
      </c>
      <c r="V61" s="444">
        <v>0</v>
      </c>
      <c r="W61" s="444">
        <v>0</v>
      </c>
      <c r="X61" s="444">
        <v>0</v>
      </c>
      <c r="Y61" s="444">
        <v>88</v>
      </c>
      <c r="Z61" s="444">
        <v>128.99999999999974</v>
      </c>
      <c r="AA61" s="444">
        <v>136.99999999999986</v>
      </c>
      <c r="AB61" s="444">
        <v>0</v>
      </c>
      <c r="AC61" s="444">
        <v>0</v>
      </c>
      <c r="AD61" s="444">
        <v>276.99999999999994</v>
      </c>
      <c r="AE61" s="444">
        <v>34.999999999999972</v>
      </c>
      <c r="AF61" s="444">
        <v>14.999999999999977</v>
      </c>
      <c r="AG61" s="444">
        <v>7.9999999999999902</v>
      </c>
      <c r="AH61" s="444">
        <v>8.9999999999999929</v>
      </c>
      <c r="AI61" s="444">
        <v>2.9999999999999991</v>
      </c>
      <c r="AJ61" s="444">
        <v>4.9999999999999805</v>
      </c>
      <c r="AK61" s="444">
        <v>0</v>
      </c>
      <c r="AL61" s="444">
        <v>0</v>
      </c>
      <c r="AM61" s="444">
        <v>0</v>
      </c>
      <c r="AN61" s="444">
        <v>0</v>
      </c>
      <c r="AO61" s="444">
        <v>0</v>
      </c>
      <c r="AP61" s="444">
        <v>0</v>
      </c>
      <c r="AQ61" s="444">
        <v>0</v>
      </c>
      <c r="AR61" s="444">
        <v>34.292263610315182</v>
      </c>
      <c r="AS61" s="444">
        <v>0</v>
      </c>
      <c r="AT61" s="444">
        <v>125.22933610376641</v>
      </c>
      <c r="AU61" s="444">
        <v>0</v>
      </c>
      <c r="AV61" s="444">
        <v>0</v>
      </c>
      <c r="AW61" s="444">
        <v>0</v>
      </c>
      <c r="AX61" s="444">
        <v>0</v>
      </c>
      <c r="AY61" s="444">
        <v>0</v>
      </c>
      <c r="AZ61" s="444">
        <v>0</v>
      </c>
      <c r="BA61" s="444">
        <v>0</v>
      </c>
      <c r="BB61" s="444">
        <v>0</v>
      </c>
      <c r="BC61" s="444">
        <v>0.84799999999999998</v>
      </c>
      <c r="BD61" s="444">
        <v>0</v>
      </c>
      <c r="BE61" s="444">
        <v>0</v>
      </c>
      <c r="BF61" s="444">
        <v>0</v>
      </c>
      <c r="BG61" s="444">
        <v>0</v>
      </c>
      <c r="BH61" s="458">
        <v>1</v>
      </c>
      <c r="BI61" s="444">
        <v>0</v>
      </c>
      <c r="BJ61" s="444">
        <v>1</v>
      </c>
      <c r="BK61" s="444">
        <v>0</v>
      </c>
    </row>
    <row r="62" spans="1:63" ht="14.5" x14ac:dyDescent="0.35">
      <c r="A62" s="454">
        <v>146855</v>
      </c>
      <c r="B62" s="454">
        <v>8312464</v>
      </c>
      <c r="C62" s="455" t="s">
        <v>116</v>
      </c>
      <c r="D62" s="431" t="s">
        <v>265</v>
      </c>
      <c r="E62" s="456" t="s">
        <v>767</v>
      </c>
      <c r="F62" s="457">
        <v>1</v>
      </c>
      <c r="G62" s="444">
        <v>0</v>
      </c>
      <c r="H62" s="444">
        <v>0</v>
      </c>
      <c r="I62" s="444">
        <v>7</v>
      </c>
      <c r="J62" s="444">
        <v>0</v>
      </c>
      <c r="K62" s="444">
        <v>0</v>
      </c>
      <c r="L62" s="444">
        <v>0</v>
      </c>
      <c r="M62" s="444">
        <v>185</v>
      </c>
      <c r="N62" s="444">
        <v>185</v>
      </c>
      <c r="O62" s="444">
        <v>26</v>
      </c>
      <c r="P62" s="444">
        <v>159</v>
      </c>
      <c r="Q62" s="444">
        <v>0</v>
      </c>
      <c r="R62" s="444">
        <v>0</v>
      </c>
      <c r="S62" s="444">
        <v>0</v>
      </c>
      <c r="T62" s="444">
        <v>0</v>
      </c>
      <c r="U62" s="444">
        <v>0</v>
      </c>
      <c r="V62" s="444">
        <v>0</v>
      </c>
      <c r="W62" s="444">
        <v>0</v>
      </c>
      <c r="X62" s="444">
        <v>0</v>
      </c>
      <c r="Y62" s="444">
        <v>26.428571428571427</v>
      </c>
      <c r="Z62" s="444">
        <v>49.99999999999995</v>
      </c>
      <c r="AA62" s="444">
        <v>49.99999999999995</v>
      </c>
      <c r="AB62" s="444">
        <v>0</v>
      </c>
      <c r="AC62" s="444">
        <v>0</v>
      </c>
      <c r="AD62" s="444">
        <v>27.999999999999936</v>
      </c>
      <c r="AE62" s="444">
        <v>47.999999999999908</v>
      </c>
      <c r="AF62" s="444">
        <v>64.999999999999929</v>
      </c>
      <c r="AG62" s="444">
        <v>1.9999999999999978</v>
      </c>
      <c r="AH62" s="444">
        <v>37.999999999999922</v>
      </c>
      <c r="AI62" s="444">
        <v>2.9999999999999969</v>
      </c>
      <c r="AJ62" s="444">
        <v>0.99999999999999889</v>
      </c>
      <c r="AK62" s="444">
        <v>0</v>
      </c>
      <c r="AL62" s="444">
        <v>0</v>
      </c>
      <c r="AM62" s="444">
        <v>0</v>
      </c>
      <c r="AN62" s="444">
        <v>0</v>
      </c>
      <c r="AO62" s="444">
        <v>0</v>
      </c>
      <c r="AP62" s="444">
        <v>0</v>
      </c>
      <c r="AQ62" s="444">
        <v>0</v>
      </c>
      <c r="AR62" s="444">
        <v>5.817610062893074</v>
      </c>
      <c r="AS62" s="444">
        <v>0</v>
      </c>
      <c r="AT62" s="444">
        <v>51.308749969975679</v>
      </c>
      <c r="AU62" s="444">
        <v>0</v>
      </c>
      <c r="AV62" s="444">
        <v>0</v>
      </c>
      <c r="AW62" s="444">
        <v>0</v>
      </c>
      <c r="AX62" s="444">
        <v>0</v>
      </c>
      <c r="AY62" s="444">
        <v>0</v>
      </c>
      <c r="AZ62" s="444">
        <v>0</v>
      </c>
      <c r="BA62" s="444">
        <v>0</v>
      </c>
      <c r="BB62" s="444">
        <v>0</v>
      </c>
      <c r="BC62" s="444">
        <v>0.93799999999999994</v>
      </c>
      <c r="BD62" s="444">
        <v>0</v>
      </c>
      <c r="BE62" s="444">
        <v>0</v>
      </c>
      <c r="BF62" s="444">
        <v>0</v>
      </c>
      <c r="BG62" s="444">
        <v>0</v>
      </c>
      <c r="BH62" s="458">
        <v>1</v>
      </c>
      <c r="BI62" s="444">
        <v>0</v>
      </c>
      <c r="BJ62" s="444">
        <v>1</v>
      </c>
      <c r="BK62" s="444">
        <v>0</v>
      </c>
    </row>
    <row r="63" spans="1:63" ht="14.5" x14ac:dyDescent="0.35">
      <c r="A63" s="454">
        <v>146839</v>
      </c>
      <c r="B63" s="454">
        <v>8312466</v>
      </c>
      <c r="C63" s="455" t="s">
        <v>117</v>
      </c>
      <c r="D63" s="431" t="s">
        <v>265</v>
      </c>
      <c r="E63" s="456" t="s">
        <v>767</v>
      </c>
      <c r="F63" s="457">
        <v>1</v>
      </c>
      <c r="G63" s="444">
        <v>0</v>
      </c>
      <c r="H63" s="444">
        <v>0</v>
      </c>
      <c r="I63" s="444">
        <v>7</v>
      </c>
      <c r="J63" s="444">
        <v>0</v>
      </c>
      <c r="K63" s="444">
        <v>0</v>
      </c>
      <c r="L63" s="444">
        <v>0</v>
      </c>
      <c r="M63" s="444">
        <v>318</v>
      </c>
      <c r="N63" s="444">
        <v>318</v>
      </c>
      <c r="O63" s="444">
        <v>28</v>
      </c>
      <c r="P63" s="444">
        <v>290</v>
      </c>
      <c r="Q63" s="444">
        <v>0</v>
      </c>
      <c r="R63" s="444">
        <v>0</v>
      </c>
      <c r="S63" s="444">
        <v>0</v>
      </c>
      <c r="T63" s="444">
        <v>0</v>
      </c>
      <c r="U63" s="444">
        <v>0</v>
      </c>
      <c r="V63" s="444">
        <v>0</v>
      </c>
      <c r="W63" s="444">
        <v>0</v>
      </c>
      <c r="X63" s="444">
        <v>0</v>
      </c>
      <c r="Y63" s="444">
        <v>45.428571428571431</v>
      </c>
      <c r="Z63" s="444">
        <v>109.99999999999982</v>
      </c>
      <c r="AA63" s="444">
        <v>109.99999999999982</v>
      </c>
      <c r="AB63" s="444">
        <v>0</v>
      </c>
      <c r="AC63" s="444">
        <v>0</v>
      </c>
      <c r="AD63" s="444">
        <v>164.99999999999972</v>
      </c>
      <c r="AE63" s="444">
        <v>59.999999999999723</v>
      </c>
      <c r="AF63" s="444">
        <v>40.999999999999716</v>
      </c>
      <c r="AG63" s="444">
        <v>3.9999999999999813</v>
      </c>
      <c r="AH63" s="444">
        <v>38.999999999999915</v>
      </c>
      <c r="AI63" s="444">
        <v>2.9999999999999987</v>
      </c>
      <c r="AJ63" s="444">
        <v>5.9999999999999725</v>
      </c>
      <c r="AK63" s="444">
        <v>0</v>
      </c>
      <c r="AL63" s="444">
        <v>0</v>
      </c>
      <c r="AM63" s="444">
        <v>0</v>
      </c>
      <c r="AN63" s="444">
        <v>0</v>
      </c>
      <c r="AO63" s="444">
        <v>0</v>
      </c>
      <c r="AP63" s="444">
        <v>0</v>
      </c>
      <c r="AQ63" s="444">
        <v>0</v>
      </c>
      <c r="AR63" s="444">
        <v>9.8689655172413513</v>
      </c>
      <c r="AS63" s="444">
        <v>0</v>
      </c>
      <c r="AT63" s="444">
        <v>109.70428791818239</v>
      </c>
      <c r="AU63" s="444">
        <v>0</v>
      </c>
      <c r="AV63" s="444">
        <v>0</v>
      </c>
      <c r="AW63" s="444">
        <v>0</v>
      </c>
      <c r="AX63" s="444">
        <v>0</v>
      </c>
      <c r="AY63" s="444">
        <v>0</v>
      </c>
      <c r="AZ63" s="444">
        <v>0</v>
      </c>
      <c r="BA63" s="444">
        <v>0</v>
      </c>
      <c r="BB63" s="444">
        <v>0</v>
      </c>
      <c r="BC63" s="444">
        <v>0.14699999999999999</v>
      </c>
      <c r="BD63" s="444">
        <v>0</v>
      </c>
      <c r="BE63" s="444">
        <v>0</v>
      </c>
      <c r="BF63" s="444">
        <v>0</v>
      </c>
      <c r="BG63" s="444">
        <v>0</v>
      </c>
      <c r="BH63" s="458">
        <v>1</v>
      </c>
      <c r="BI63" s="444">
        <v>0</v>
      </c>
      <c r="BJ63" s="444">
        <v>1</v>
      </c>
      <c r="BK63" s="444">
        <v>0</v>
      </c>
    </row>
    <row r="64" spans="1:63" ht="14.5" x14ac:dyDescent="0.35">
      <c r="A64" s="454">
        <v>145592</v>
      </c>
      <c r="B64" s="454">
        <v>8312467</v>
      </c>
      <c r="C64" s="455" t="s">
        <v>118</v>
      </c>
      <c r="D64" s="431" t="s">
        <v>265</v>
      </c>
      <c r="E64" s="456" t="s">
        <v>767</v>
      </c>
      <c r="F64" s="457">
        <v>1</v>
      </c>
      <c r="G64" s="444">
        <v>0</v>
      </c>
      <c r="H64" s="444">
        <v>0</v>
      </c>
      <c r="I64" s="444">
        <v>7</v>
      </c>
      <c r="J64" s="444">
        <v>0</v>
      </c>
      <c r="K64" s="444">
        <v>0</v>
      </c>
      <c r="L64" s="444">
        <v>0</v>
      </c>
      <c r="M64" s="444">
        <v>181</v>
      </c>
      <c r="N64" s="444">
        <v>181</v>
      </c>
      <c r="O64" s="444">
        <v>19</v>
      </c>
      <c r="P64" s="444">
        <v>162</v>
      </c>
      <c r="Q64" s="444">
        <v>0</v>
      </c>
      <c r="R64" s="444">
        <v>0</v>
      </c>
      <c r="S64" s="444">
        <v>0</v>
      </c>
      <c r="T64" s="444">
        <v>0</v>
      </c>
      <c r="U64" s="444">
        <v>0</v>
      </c>
      <c r="V64" s="444">
        <v>0</v>
      </c>
      <c r="W64" s="444">
        <v>0</v>
      </c>
      <c r="X64" s="444">
        <v>0</v>
      </c>
      <c r="Y64" s="444">
        <v>25.857142857142858</v>
      </c>
      <c r="Z64" s="444">
        <v>59.999999999999936</v>
      </c>
      <c r="AA64" s="444">
        <v>59.999999999999936</v>
      </c>
      <c r="AB64" s="444">
        <v>0</v>
      </c>
      <c r="AC64" s="444">
        <v>0</v>
      </c>
      <c r="AD64" s="444">
        <v>57.99999999999995</v>
      </c>
      <c r="AE64" s="444">
        <v>13.999999999999991</v>
      </c>
      <c r="AF64" s="444">
        <v>39.999999999999901</v>
      </c>
      <c r="AG64" s="444">
        <v>60.999999999999936</v>
      </c>
      <c r="AH64" s="444">
        <v>3.9999999999999898</v>
      </c>
      <c r="AI64" s="444">
        <v>1.999999999999986</v>
      </c>
      <c r="AJ64" s="444">
        <v>1.999999999999986</v>
      </c>
      <c r="AK64" s="444">
        <v>0</v>
      </c>
      <c r="AL64" s="444">
        <v>0</v>
      </c>
      <c r="AM64" s="444">
        <v>0</v>
      </c>
      <c r="AN64" s="444">
        <v>0</v>
      </c>
      <c r="AO64" s="444">
        <v>0</v>
      </c>
      <c r="AP64" s="444">
        <v>0</v>
      </c>
      <c r="AQ64" s="444">
        <v>0</v>
      </c>
      <c r="AR64" s="444">
        <v>7.8209876543209731</v>
      </c>
      <c r="AS64" s="444">
        <v>0</v>
      </c>
      <c r="AT64" s="444">
        <v>46.544090233127946</v>
      </c>
      <c r="AU64" s="444">
        <v>0</v>
      </c>
      <c r="AV64" s="444">
        <v>0</v>
      </c>
      <c r="AW64" s="444">
        <v>0</v>
      </c>
      <c r="AX64" s="444">
        <v>0</v>
      </c>
      <c r="AY64" s="444">
        <v>0</v>
      </c>
      <c r="AZ64" s="444">
        <v>0</v>
      </c>
      <c r="BA64" s="444">
        <v>0</v>
      </c>
      <c r="BB64" s="444">
        <v>0</v>
      </c>
      <c r="BC64" s="444">
        <v>0.55200000000000005</v>
      </c>
      <c r="BD64" s="444">
        <v>0</v>
      </c>
      <c r="BE64" s="444">
        <v>0</v>
      </c>
      <c r="BF64" s="444">
        <v>0</v>
      </c>
      <c r="BG64" s="444">
        <v>0</v>
      </c>
      <c r="BH64" s="458">
        <v>1</v>
      </c>
      <c r="BI64" s="444">
        <v>0</v>
      </c>
      <c r="BJ64" s="444">
        <v>1</v>
      </c>
      <c r="BK64" s="444">
        <v>0</v>
      </c>
    </row>
    <row r="65" spans="1:63" ht="14.5" x14ac:dyDescent="0.35">
      <c r="A65" s="454">
        <v>146938</v>
      </c>
      <c r="B65" s="454">
        <v>8312471</v>
      </c>
      <c r="C65" s="455" t="s">
        <v>119</v>
      </c>
      <c r="D65" s="431" t="s">
        <v>265</v>
      </c>
      <c r="E65" s="456" t="s">
        <v>767</v>
      </c>
      <c r="F65" s="457">
        <v>1</v>
      </c>
      <c r="G65" s="444">
        <v>0</v>
      </c>
      <c r="H65" s="444">
        <v>0</v>
      </c>
      <c r="I65" s="444">
        <v>4</v>
      </c>
      <c r="J65" s="444">
        <v>0</v>
      </c>
      <c r="K65" s="444">
        <v>0</v>
      </c>
      <c r="L65" s="444">
        <v>0</v>
      </c>
      <c r="M65" s="444">
        <v>341</v>
      </c>
      <c r="N65" s="444">
        <v>341</v>
      </c>
      <c r="O65" s="444">
        <v>0</v>
      </c>
      <c r="P65" s="444">
        <v>341</v>
      </c>
      <c r="Q65" s="444">
        <v>0</v>
      </c>
      <c r="R65" s="444">
        <v>0</v>
      </c>
      <c r="S65" s="444">
        <v>0</v>
      </c>
      <c r="T65" s="444">
        <v>0</v>
      </c>
      <c r="U65" s="444">
        <v>0</v>
      </c>
      <c r="V65" s="444">
        <v>0</v>
      </c>
      <c r="W65" s="444">
        <v>0</v>
      </c>
      <c r="X65" s="444">
        <v>0</v>
      </c>
      <c r="Y65" s="444">
        <v>85.25</v>
      </c>
      <c r="Z65" s="444">
        <v>161.99999999999994</v>
      </c>
      <c r="AA65" s="444">
        <v>164.99999999999983</v>
      </c>
      <c r="AB65" s="444">
        <v>0</v>
      </c>
      <c r="AC65" s="444">
        <v>0</v>
      </c>
      <c r="AD65" s="444">
        <v>158.99999999999969</v>
      </c>
      <c r="AE65" s="444">
        <v>12.999999999999993</v>
      </c>
      <c r="AF65" s="444">
        <v>78.999999999999858</v>
      </c>
      <c r="AG65" s="444">
        <v>0</v>
      </c>
      <c r="AH65" s="444">
        <v>26.999999999999989</v>
      </c>
      <c r="AI65" s="444">
        <v>20.999999999999975</v>
      </c>
      <c r="AJ65" s="444">
        <v>41.99999999999968</v>
      </c>
      <c r="AK65" s="444">
        <v>0</v>
      </c>
      <c r="AL65" s="444">
        <v>0</v>
      </c>
      <c r="AM65" s="444">
        <v>0</v>
      </c>
      <c r="AN65" s="444">
        <v>0</v>
      </c>
      <c r="AO65" s="444">
        <v>0</v>
      </c>
      <c r="AP65" s="444">
        <v>0</v>
      </c>
      <c r="AQ65" s="444">
        <v>0</v>
      </c>
      <c r="AR65" s="444">
        <v>8.0235294117646774</v>
      </c>
      <c r="AS65" s="444">
        <v>0</v>
      </c>
      <c r="AT65" s="444">
        <v>123.93830884266423</v>
      </c>
      <c r="AU65" s="444">
        <v>0</v>
      </c>
      <c r="AV65" s="444">
        <v>0</v>
      </c>
      <c r="AW65" s="444">
        <v>0</v>
      </c>
      <c r="AX65" s="444">
        <v>0</v>
      </c>
      <c r="AY65" s="444">
        <v>0</v>
      </c>
      <c r="AZ65" s="444">
        <v>0</v>
      </c>
      <c r="BA65" s="444">
        <v>0</v>
      </c>
      <c r="BB65" s="444">
        <v>0</v>
      </c>
      <c r="BC65" s="444">
        <v>0.76600000000000001</v>
      </c>
      <c r="BD65" s="444">
        <v>0</v>
      </c>
      <c r="BE65" s="444">
        <v>0</v>
      </c>
      <c r="BF65" s="444">
        <v>0</v>
      </c>
      <c r="BG65" s="444">
        <v>0</v>
      </c>
      <c r="BH65" s="458">
        <v>1</v>
      </c>
      <c r="BI65" s="444">
        <v>0</v>
      </c>
      <c r="BJ65" s="444">
        <v>1</v>
      </c>
      <c r="BK65" s="444">
        <v>0</v>
      </c>
    </row>
    <row r="66" spans="1:63" ht="14.5" x14ac:dyDescent="0.35">
      <c r="A66" s="454">
        <v>145806</v>
      </c>
      <c r="B66" s="454">
        <v>8312509</v>
      </c>
      <c r="C66" s="455" t="s">
        <v>120</v>
      </c>
      <c r="D66" s="431" t="s">
        <v>265</v>
      </c>
      <c r="E66" s="456" t="s">
        <v>767</v>
      </c>
      <c r="F66" s="457">
        <v>1</v>
      </c>
      <c r="G66" s="444">
        <v>0</v>
      </c>
      <c r="H66" s="444">
        <v>0</v>
      </c>
      <c r="I66" s="444">
        <v>7</v>
      </c>
      <c r="J66" s="444">
        <v>0</v>
      </c>
      <c r="K66" s="444">
        <v>0</v>
      </c>
      <c r="L66" s="444">
        <v>0</v>
      </c>
      <c r="M66" s="444">
        <v>176</v>
      </c>
      <c r="N66" s="444">
        <v>176</v>
      </c>
      <c r="O66" s="444">
        <v>17</v>
      </c>
      <c r="P66" s="444">
        <v>159</v>
      </c>
      <c r="Q66" s="444">
        <v>0</v>
      </c>
      <c r="R66" s="444">
        <v>0</v>
      </c>
      <c r="S66" s="444">
        <v>0</v>
      </c>
      <c r="T66" s="444">
        <v>0</v>
      </c>
      <c r="U66" s="444">
        <v>0</v>
      </c>
      <c r="V66" s="444">
        <v>0</v>
      </c>
      <c r="W66" s="444">
        <v>0</v>
      </c>
      <c r="X66" s="444">
        <v>0</v>
      </c>
      <c r="Y66" s="444">
        <v>25.142857142857142</v>
      </c>
      <c r="Z66" s="444">
        <v>81.999999999999844</v>
      </c>
      <c r="AA66" s="444">
        <v>83.999999999999957</v>
      </c>
      <c r="AB66" s="444">
        <v>0</v>
      </c>
      <c r="AC66" s="444">
        <v>0</v>
      </c>
      <c r="AD66" s="444">
        <v>105.99999999999994</v>
      </c>
      <c r="AE66" s="444">
        <v>5.999999999999984</v>
      </c>
      <c r="AF66" s="444">
        <v>26.99999999999984</v>
      </c>
      <c r="AG66" s="444">
        <v>4.9999999999999982</v>
      </c>
      <c r="AH66" s="444">
        <v>15.999999999999998</v>
      </c>
      <c r="AI66" s="444">
        <v>13.999999999999993</v>
      </c>
      <c r="AJ66" s="444">
        <v>1.9999999999999887</v>
      </c>
      <c r="AK66" s="444">
        <v>0</v>
      </c>
      <c r="AL66" s="444">
        <v>0</v>
      </c>
      <c r="AM66" s="444">
        <v>0</v>
      </c>
      <c r="AN66" s="444">
        <v>0</v>
      </c>
      <c r="AO66" s="444">
        <v>0</v>
      </c>
      <c r="AP66" s="444">
        <v>0</v>
      </c>
      <c r="AQ66" s="444">
        <v>0</v>
      </c>
      <c r="AR66" s="444">
        <v>74.163522012578596</v>
      </c>
      <c r="AS66" s="444">
        <v>0</v>
      </c>
      <c r="AT66" s="444">
        <v>64.863106863214355</v>
      </c>
      <c r="AU66" s="444">
        <v>0</v>
      </c>
      <c r="AV66" s="444">
        <v>0</v>
      </c>
      <c r="AW66" s="444">
        <v>0</v>
      </c>
      <c r="AX66" s="444">
        <v>0</v>
      </c>
      <c r="AY66" s="444">
        <v>0</v>
      </c>
      <c r="AZ66" s="444">
        <v>0</v>
      </c>
      <c r="BA66" s="444">
        <v>26.439999999999873</v>
      </c>
      <c r="BB66" s="444">
        <v>0</v>
      </c>
      <c r="BC66" s="444">
        <v>0.82299999999999995</v>
      </c>
      <c r="BD66" s="444">
        <v>0</v>
      </c>
      <c r="BE66" s="444">
        <v>0</v>
      </c>
      <c r="BF66" s="444">
        <v>0</v>
      </c>
      <c r="BG66" s="444">
        <v>0</v>
      </c>
      <c r="BH66" s="458">
        <v>1</v>
      </c>
      <c r="BI66" s="444">
        <v>0</v>
      </c>
      <c r="BJ66" s="444">
        <v>1</v>
      </c>
      <c r="BK66" s="444">
        <v>0</v>
      </c>
    </row>
    <row r="67" spans="1:63" ht="14.5" x14ac:dyDescent="0.35">
      <c r="A67" s="454">
        <v>147119</v>
      </c>
      <c r="B67" s="454">
        <v>8312512</v>
      </c>
      <c r="C67" s="455" t="s">
        <v>121</v>
      </c>
      <c r="D67" s="431" t="s">
        <v>265</v>
      </c>
      <c r="E67" s="456" t="s">
        <v>767</v>
      </c>
      <c r="F67" s="457">
        <v>1</v>
      </c>
      <c r="G67" s="444">
        <v>0</v>
      </c>
      <c r="H67" s="444">
        <v>0</v>
      </c>
      <c r="I67" s="444">
        <v>7</v>
      </c>
      <c r="J67" s="444">
        <v>0</v>
      </c>
      <c r="K67" s="444">
        <v>0</v>
      </c>
      <c r="L67" s="444">
        <v>0</v>
      </c>
      <c r="M67" s="444">
        <v>210</v>
      </c>
      <c r="N67" s="444">
        <v>210</v>
      </c>
      <c r="O67" s="444">
        <v>30</v>
      </c>
      <c r="P67" s="444">
        <v>180</v>
      </c>
      <c r="Q67" s="444">
        <v>0</v>
      </c>
      <c r="R67" s="444">
        <v>0</v>
      </c>
      <c r="S67" s="444">
        <v>0</v>
      </c>
      <c r="T67" s="444">
        <v>0</v>
      </c>
      <c r="U67" s="444">
        <v>0</v>
      </c>
      <c r="V67" s="444">
        <v>0</v>
      </c>
      <c r="W67" s="444">
        <v>0</v>
      </c>
      <c r="X67" s="444">
        <v>0</v>
      </c>
      <c r="Y67" s="444">
        <v>30</v>
      </c>
      <c r="Z67" s="444">
        <v>42.999999999999844</v>
      </c>
      <c r="AA67" s="444">
        <v>43.999999999999893</v>
      </c>
      <c r="AB67" s="444">
        <v>0</v>
      </c>
      <c r="AC67" s="444">
        <v>0</v>
      </c>
      <c r="AD67" s="444">
        <v>160.99999999999986</v>
      </c>
      <c r="AE67" s="444">
        <v>47.999999999999879</v>
      </c>
      <c r="AF67" s="444">
        <v>0.99999999999999956</v>
      </c>
      <c r="AG67" s="444">
        <v>0</v>
      </c>
      <c r="AH67" s="444">
        <v>0</v>
      </c>
      <c r="AI67" s="444">
        <v>0</v>
      </c>
      <c r="AJ67" s="444">
        <v>0</v>
      </c>
      <c r="AK67" s="444">
        <v>0</v>
      </c>
      <c r="AL67" s="444">
        <v>0</v>
      </c>
      <c r="AM67" s="444">
        <v>0</v>
      </c>
      <c r="AN67" s="444">
        <v>0</v>
      </c>
      <c r="AO67" s="444">
        <v>0</v>
      </c>
      <c r="AP67" s="444">
        <v>0</v>
      </c>
      <c r="AQ67" s="444">
        <v>0</v>
      </c>
      <c r="AR67" s="444">
        <v>38.499999999999929</v>
      </c>
      <c r="AS67" s="444">
        <v>0</v>
      </c>
      <c r="AT67" s="444">
        <v>63.689784321322321</v>
      </c>
      <c r="AU67" s="444">
        <v>0</v>
      </c>
      <c r="AV67" s="444">
        <v>0</v>
      </c>
      <c r="AW67" s="444">
        <v>0</v>
      </c>
      <c r="AX67" s="444">
        <v>0</v>
      </c>
      <c r="AY67" s="444">
        <v>0</v>
      </c>
      <c r="AZ67" s="444">
        <v>0</v>
      </c>
      <c r="BA67" s="444">
        <v>0</v>
      </c>
      <c r="BB67" s="444">
        <v>0</v>
      </c>
      <c r="BC67" s="444">
        <v>1.113</v>
      </c>
      <c r="BD67" s="444">
        <v>0</v>
      </c>
      <c r="BE67" s="444">
        <v>0</v>
      </c>
      <c r="BF67" s="444">
        <v>0</v>
      </c>
      <c r="BG67" s="444">
        <v>0</v>
      </c>
      <c r="BH67" s="458">
        <v>1</v>
      </c>
      <c r="BI67" s="444">
        <v>0</v>
      </c>
      <c r="BJ67" s="444">
        <v>1</v>
      </c>
      <c r="BK67" s="444">
        <v>0</v>
      </c>
    </row>
    <row r="68" spans="1:63" ht="14.5" x14ac:dyDescent="0.35">
      <c r="A68" s="454">
        <v>147624</v>
      </c>
      <c r="B68" s="454">
        <v>8312522</v>
      </c>
      <c r="C68" s="455" t="s">
        <v>122</v>
      </c>
      <c r="D68" s="431" t="s">
        <v>265</v>
      </c>
      <c r="E68" s="456" t="s">
        <v>767</v>
      </c>
      <c r="F68" s="457">
        <v>1</v>
      </c>
      <c r="G68" s="444">
        <v>0</v>
      </c>
      <c r="H68" s="444">
        <v>0</v>
      </c>
      <c r="I68" s="444">
        <v>7</v>
      </c>
      <c r="J68" s="444">
        <v>0</v>
      </c>
      <c r="K68" s="444">
        <v>0</v>
      </c>
      <c r="L68" s="444">
        <v>0</v>
      </c>
      <c r="M68" s="444">
        <v>433</v>
      </c>
      <c r="N68" s="444">
        <v>433</v>
      </c>
      <c r="O68" s="444">
        <v>60</v>
      </c>
      <c r="P68" s="444">
        <v>373</v>
      </c>
      <c r="Q68" s="444">
        <v>0</v>
      </c>
      <c r="R68" s="444">
        <v>0</v>
      </c>
      <c r="S68" s="444">
        <v>0</v>
      </c>
      <c r="T68" s="444">
        <v>0</v>
      </c>
      <c r="U68" s="444">
        <v>0</v>
      </c>
      <c r="V68" s="444">
        <v>0</v>
      </c>
      <c r="W68" s="444">
        <v>0</v>
      </c>
      <c r="X68" s="444">
        <v>0</v>
      </c>
      <c r="Y68" s="444">
        <v>61.857142857142854</v>
      </c>
      <c r="Z68" s="444">
        <v>37.999999999999986</v>
      </c>
      <c r="AA68" s="444">
        <v>41.999999999999986</v>
      </c>
      <c r="AB68" s="444">
        <v>0</v>
      </c>
      <c r="AC68" s="444">
        <v>0</v>
      </c>
      <c r="AD68" s="444">
        <v>381.99999999999994</v>
      </c>
      <c r="AE68" s="444">
        <v>29.999999999999993</v>
      </c>
      <c r="AF68" s="444">
        <v>9.9999999999999964</v>
      </c>
      <c r="AG68" s="444">
        <v>1.9999999999999991</v>
      </c>
      <c r="AH68" s="444">
        <v>2.9999999999999991</v>
      </c>
      <c r="AI68" s="444">
        <v>2.9999999999999991</v>
      </c>
      <c r="AJ68" s="444">
        <v>2.9999999999999991</v>
      </c>
      <c r="AK68" s="444">
        <v>0</v>
      </c>
      <c r="AL68" s="444">
        <v>0</v>
      </c>
      <c r="AM68" s="444">
        <v>0</v>
      </c>
      <c r="AN68" s="444">
        <v>0</v>
      </c>
      <c r="AO68" s="444">
        <v>0</v>
      </c>
      <c r="AP68" s="444">
        <v>0</v>
      </c>
      <c r="AQ68" s="444">
        <v>0</v>
      </c>
      <c r="AR68" s="444">
        <v>22.056300268096482</v>
      </c>
      <c r="AS68" s="444">
        <v>0</v>
      </c>
      <c r="AT68" s="444">
        <v>77.503840676417042</v>
      </c>
      <c r="AU68" s="444">
        <v>0</v>
      </c>
      <c r="AV68" s="444">
        <v>0</v>
      </c>
      <c r="AW68" s="444">
        <v>0</v>
      </c>
      <c r="AX68" s="444">
        <v>0</v>
      </c>
      <c r="AY68" s="444">
        <v>0</v>
      </c>
      <c r="AZ68" s="444">
        <v>0</v>
      </c>
      <c r="BA68" s="444">
        <v>0</v>
      </c>
      <c r="BB68" s="444">
        <v>0</v>
      </c>
      <c r="BC68" s="444">
        <v>0.91200000000000003</v>
      </c>
      <c r="BD68" s="444">
        <v>0</v>
      </c>
      <c r="BE68" s="444">
        <v>0</v>
      </c>
      <c r="BF68" s="444">
        <v>0</v>
      </c>
      <c r="BG68" s="444">
        <v>0</v>
      </c>
      <c r="BH68" s="458">
        <v>1</v>
      </c>
      <c r="BI68" s="444">
        <v>0</v>
      </c>
      <c r="BJ68" s="444">
        <v>1</v>
      </c>
      <c r="BK68" s="444">
        <v>0</v>
      </c>
    </row>
    <row r="69" spans="1:63" ht="14.5" x14ac:dyDescent="0.35">
      <c r="A69" s="454">
        <v>146715</v>
      </c>
      <c r="B69" s="454">
        <v>8312629</v>
      </c>
      <c r="C69" s="455" t="s">
        <v>123</v>
      </c>
      <c r="D69" s="431" t="s">
        <v>265</v>
      </c>
      <c r="E69" s="456" t="s">
        <v>767</v>
      </c>
      <c r="F69" s="457">
        <v>1</v>
      </c>
      <c r="G69" s="444">
        <v>0</v>
      </c>
      <c r="H69" s="444">
        <v>0</v>
      </c>
      <c r="I69" s="444">
        <v>7</v>
      </c>
      <c r="J69" s="444">
        <v>0</v>
      </c>
      <c r="K69" s="444">
        <v>0</v>
      </c>
      <c r="L69" s="444">
        <v>0</v>
      </c>
      <c r="M69" s="444">
        <v>533</v>
      </c>
      <c r="N69" s="444">
        <v>533</v>
      </c>
      <c r="O69" s="444">
        <v>75</v>
      </c>
      <c r="P69" s="444">
        <v>458</v>
      </c>
      <c r="Q69" s="444">
        <v>0</v>
      </c>
      <c r="R69" s="444">
        <v>0</v>
      </c>
      <c r="S69" s="444">
        <v>0</v>
      </c>
      <c r="T69" s="444">
        <v>0</v>
      </c>
      <c r="U69" s="444">
        <v>0</v>
      </c>
      <c r="V69" s="444">
        <v>0</v>
      </c>
      <c r="W69" s="444">
        <v>0</v>
      </c>
      <c r="X69" s="444">
        <v>0</v>
      </c>
      <c r="Y69" s="444">
        <v>76.142857142857139</v>
      </c>
      <c r="Z69" s="444">
        <v>341.99999999999983</v>
      </c>
      <c r="AA69" s="444">
        <v>341.99999999999983</v>
      </c>
      <c r="AB69" s="444">
        <v>0</v>
      </c>
      <c r="AC69" s="444">
        <v>0</v>
      </c>
      <c r="AD69" s="444">
        <v>26.999999999999961</v>
      </c>
      <c r="AE69" s="444">
        <v>62.999999999999851</v>
      </c>
      <c r="AF69" s="444">
        <v>32.999999999999986</v>
      </c>
      <c r="AG69" s="444">
        <v>237.99999999999994</v>
      </c>
      <c r="AH69" s="444">
        <v>153.99999999999974</v>
      </c>
      <c r="AI69" s="444">
        <v>5.9999999999999734</v>
      </c>
      <c r="AJ69" s="444">
        <v>12</v>
      </c>
      <c r="AK69" s="444">
        <v>0</v>
      </c>
      <c r="AL69" s="444">
        <v>0</v>
      </c>
      <c r="AM69" s="444">
        <v>0</v>
      </c>
      <c r="AN69" s="444">
        <v>0</v>
      </c>
      <c r="AO69" s="444">
        <v>0</v>
      </c>
      <c r="AP69" s="444">
        <v>0</v>
      </c>
      <c r="AQ69" s="444">
        <v>0</v>
      </c>
      <c r="AR69" s="444">
        <v>264.17248908296904</v>
      </c>
      <c r="AS69" s="444">
        <v>0</v>
      </c>
      <c r="AT69" s="444">
        <v>252.52737175549163</v>
      </c>
      <c r="AU69" s="444">
        <v>0</v>
      </c>
      <c r="AV69" s="444">
        <v>0</v>
      </c>
      <c r="AW69" s="444">
        <v>0</v>
      </c>
      <c r="AX69" s="444">
        <v>0</v>
      </c>
      <c r="AY69" s="444">
        <v>0</v>
      </c>
      <c r="AZ69" s="444">
        <v>0</v>
      </c>
      <c r="BA69" s="444">
        <v>0</v>
      </c>
      <c r="BB69" s="444">
        <v>0</v>
      </c>
      <c r="BC69" s="444">
        <v>0.38400000000000001</v>
      </c>
      <c r="BD69" s="444">
        <v>0</v>
      </c>
      <c r="BE69" s="444">
        <v>0</v>
      </c>
      <c r="BF69" s="444">
        <v>0</v>
      </c>
      <c r="BG69" s="444">
        <v>0</v>
      </c>
      <c r="BH69" s="458">
        <v>1</v>
      </c>
      <c r="BI69" s="444">
        <v>0</v>
      </c>
      <c r="BJ69" s="444">
        <v>1</v>
      </c>
      <c r="BK69" s="444">
        <v>0</v>
      </c>
    </row>
    <row r="70" spans="1:63" ht="14.5" x14ac:dyDescent="0.35">
      <c r="A70" s="454">
        <v>146575</v>
      </c>
      <c r="B70" s="454">
        <v>8313158</v>
      </c>
      <c r="C70" s="455" t="s">
        <v>124</v>
      </c>
      <c r="D70" s="431" t="s">
        <v>265</v>
      </c>
      <c r="E70" s="456" t="s">
        <v>767</v>
      </c>
      <c r="F70" s="457">
        <v>1</v>
      </c>
      <c r="G70" s="444">
        <v>0</v>
      </c>
      <c r="H70" s="444">
        <v>0</v>
      </c>
      <c r="I70" s="444">
        <v>3</v>
      </c>
      <c r="J70" s="444">
        <v>0</v>
      </c>
      <c r="K70" s="444">
        <v>0</v>
      </c>
      <c r="L70" s="444">
        <v>0</v>
      </c>
      <c r="M70" s="444">
        <v>109</v>
      </c>
      <c r="N70" s="444">
        <v>109</v>
      </c>
      <c r="O70" s="444">
        <v>34</v>
      </c>
      <c r="P70" s="444">
        <v>75</v>
      </c>
      <c r="Q70" s="444">
        <v>0</v>
      </c>
      <c r="R70" s="444">
        <v>0</v>
      </c>
      <c r="S70" s="444">
        <v>0</v>
      </c>
      <c r="T70" s="444">
        <v>0</v>
      </c>
      <c r="U70" s="444">
        <v>0</v>
      </c>
      <c r="V70" s="444">
        <v>0</v>
      </c>
      <c r="W70" s="444">
        <v>0</v>
      </c>
      <c r="X70" s="444">
        <v>0</v>
      </c>
      <c r="Y70" s="444">
        <v>36.333333333333336</v>
      </c>
      <c r="Z70" s="444">
        <v>55.999999999999964</v>
      </c>
      <c r="AA70" s="444">
        <v>57.999999999999964</v>
      </c>
      <c r="AB70" s="444">
        <v>0</v>
      </c>
      <c r="AC70" s="444">
        <v>0</v>
      </c>
      <c r="AD70" s="444">
        <v>2.9999999999999987</v>
      </c>
      <c r="AE70" s="444">
        <v>1.9999999999999989</v>
      </c>
      <c r="AF70" s="444">
        <v>24.999999999999932</v>
      </c>
      <c r="AG70" s="444">
        <v>56.999999999999915</v>
      </c>
      <c r="AH70" s="444">
        <v>16.999999999999936</v>
      </c>
      <c r="AI70" s="444">
        <v>4.9999999999999973</v>
      </c>
      <c r="AJ70" s="444">
        <v>0</v>
      </c>
      <c r="AK70" s="444">
        <v>0</v>
      </c>
      <c r="AL70" s="444">
        <v>0</v>
      </c>
      <c r="AM70" s="444">
        <v>0</v>
      </c>
      <c r="AN70" s="444">
        <v>0</v>
      </c>
      <c r="AO70" s="444">
        <v>0</v>
      </c>
      <c r="AP70" s="444">
        <v>0</v>
      </c>
      <c r="AQ70" s="444">
        <v>0</v>
      </c>
      <c r="AR70" s="444">
        <v>101.73333333333329</v>
      </c>
      <c r="AS70" s="444">
        <v>0</v>
      </c>
      <c r="AT70" s="444">
        <v>62.75757575757568</v>
      </c>
      <c r="AU70" s="444">
        <v>0</v>
      </c>
      <c r="AV70" s="444">
        <v>0</v>
      </c>
      <c r="AW70" s="444">
        <v>0</v>
      </c>
      <c r="AX70" s="444">
        <v>0</v>
      </c>
      <c r="AY70" s="444">
        <v>0</v>
      </c>
      <c r="AZ70" s="444">
        <v>0</v>
      </c>
      <c r="BA70" s="444">
        <v>0.45999999999999608</v>
      </c>
      <c r="BB70" s="444">
        <v>0</v>
      </c>
      <c r="BC70" s="444">
        <v>0.26300000000000001</v>
      </c>
      <c r="BD70" s="444">
        <v>0</v>
      </c>
      <c r="BE70" s="444">
        <v>0</v>
      </c>
      <c r="BF70" s="444">
        <v>0</v>
      </c>
      <c r="BG70" s="444">
        <v>0</v>
      </c>
      <c r="BH70" s="458">
        <v>1</v>
      </c>
      <c r="BI70" s="444">
        <v>0</v>
      </c>
      <c r="BJ70" s="444">
        <v>1</v>
      </c>
      <c r="BK70" s="444">
        <v>0</v>
      </c>
    </row>
    <row r="71" spans="1:63" ht="14.5" x14ac:dyDescent="0.35">
      <c r="A71" s="454">
        <v>146140</v>
      </c>
      <c r="B71" s="454">
        <v>8313528</v>
      </c>
      <c r="C71" s="455" t="s">
        <v>125</v>
      </c>
      <c r="D71" s="431" t="s">
        <v>265</v>
      </c>
      <c r="E71" s="456" t="s">
        <v>767</v>
      </c>
      <c r="F71" s="457">
        <v>1</v>
      </c>
      <c r="G71" s="444">
        <v>0</v>
      </c>
      <c r="H71" s="444">
        <v>0</v>
      </c>
      <c r="I71" s="444">
        <v>7</v>
      </c>
      <c r="J71" s="444">
        <v>0</v>
      </c>
      <c r="K71" s="444">
        <v>0</v>
      </c>
      <c r="L71" s="444">
        <v>0</v>
      </c>
      <c r="M71" s="444">
        <v>365</v>
      </c>
      <c r="N71" s="444">
        <v>365</v>
      </c>
      <c r="O71" s="444">
        <v>46</v>
      </c>
      <c r="P71" s="444">
        <v>319</v>
      </c>
      <c r="Q71" s="444">
        <v>0</v>
      </c>
      <c r="R71" s="444">
        <v>0</v>
      </c>
      <c r="S71" s="444">
        <v>0</v>
      </c>
      <c r="T71" s="444">
        <v>0</v>
      </c>
      <c r="U71" s="444">
        <v>0</v>
      </c>
      <c r="V71" s="444">
        <v>0</v>
      </c>
      <c r="W71" s="444">
        <v>0</v>
      </c>
      <c r="X71" s="444">
        <v>0</v>
      </c>
      <c r="Y71" s="444">
        <v>52.142857142857146</v>
      </c>
      <c r="Z71" s="444">
        <v>84.999999999999957</v>
      </c>
      <c r="AA71" s="444">
        <v>86.999999999999758</v>
      </c>
      <c r="AB71" s="444">
        <v>0</v>
      </c>
      <c r="AC71" s="444">
        <v>0</v>
      </c>
      <c r="AD71" s="444">
        <v>141.38736263736249</v>
      </c>
      <c r="AE71" s="444">
        <v>88.241758241757964</v>
      </c>
      <c r="AF71" s="444">
        <v>54.148351648351515</v>
      </c>
      <c r="AG71" s="444">
        <v>19.052197802197803</v>
      </c>
      <c r="AH71" s="444">
        <v>17.046703296703296</v>
      </c>
      <c r="AI71" s="444">
        <v>22.060439560439544</v>
      </c>
      <c r="AJ71" s="444">
        <v>23.063186813186782</v>
      </c>
      <c r="AK71" s="444">
        <v>0</v>
      </c>
      <c r="AL71" s="444">
        <v>0</v>
      </c>
      <c r="AM71" s="444">
        <v>0</v>
      </c>
      <c r="AN71" s="444">
        <v>0</v>
      </c>
      <c r="AO71" s="444">
        <v>0</v>
      </c>
      <c r="AP71" s="444">
        <v>0</v>
      </c>
      <c r="AQ71" s="444">
        <v>0</v>
      </c>
      <c r="AR71" s="444">
        <v>140.73667711598739</v>
      </c>
      <c r="AS71" s="444">
        <v>0</v>
      </c>
      <c r="AT71" s="444">
        <v>119.94259016172771</v>
      </c>
      <c r="AU71" s="444">
        <v>0</v>
      </c>
      <c r="AV71" s="444">
        <v>0</v>
      </c>
      <c r="AW71" s="444">
        <v>0</v>
      </c>
      <c r="AX71" s="444">
        <v>0</v>
      </c>
      <c r="AY71" s="444">
        <v>0</v>
      </c>
      <c r="AZ71" s="444">
        <v>0</v>
      </c>
      <c r="BA71" s="444">
        <v>22.099999999999834</v>
      </c>
      <c r="BB71" s="444">
        <v>0</v>
      </c>
      <c r="BC71" s="444">
        <v>0.78600000000000003</v>
      </c>
      <c r="BD71" s="444">
        <v>0</v>
      </c>
      <c r="BE71" s="444">
        <v>0</v>
      </c>
      <c r="BF71" s="444">
        <v>0</v>
      </c>
      <c r="BG71" s="444">
        <v>0</v>
      </c>
      <c r="BH71" s="458">
        <v>1</v>
      </c>
      <c r="BI71" s="444">
        <v>0</v>
      </c>
      <c r="BJ71" s="444">
        <v>1</v>
      </c>
      <c r="BK71" s="444">
        <v>0</v>
      </c>
    </row>
    <row r="72" spans="1:63" ht="14.5" x14ac:dyDescent="0.35">
      <c r="A72" s="454">
        <v>142752</v>
      </c>
      <c r="B72" s="454">
        <v>8313530</v>
      </c>
      <c r="C72" s="455" t="s">
        <v>126</v>
      </c>
      <c r="D72" s="431" t="s">
        <v>265</v>
      </c>
      <c r="E72" s="456" t="s">
        <v>767</v>
      </c>
      <c r="F72" s="457">
        <v>1</v>
      </c>
      <c r="G72" s="444">
        <v>0</v>
      </c>
      <c r="H72" s="444">
        <v>0</v>
      </c>
      <c r="I72" s="444">
        <v>7</v>
      </c>
      <c r="J72" s="444">
        <v>0</v>
      </c>
      <c r="K72" s="444">
        <v>0</v>
      </c>
      <c r="L72" s="444">
        <v>0</v>
      </c>
      <c r="M72" s="444">
        <v>408</v>
      </c>
      <c r="N72" s="444">
        <v>408</v>
      </c>
      <c r="O72" s="444">
        <v>60</v>
      </c>
      <c r="P72" s="444">
        <v>348</v>
      </c>
      <c r="Q72" s="444">
        <v>0</v>
      </c>
      <c r="R72" s="444">
        <v>0</v>
      </c>
      <c r="S72" s="444">
        <v>0</v>
      </c>
      <c r="T72" s="444">
        <v>0</v>
      </c>
      <c r="U72" s="444">
        <v>0</v>
      </c>
      <c r="V72" s="444">
        <v>0</v>
      </c>
      <c r="W72" s="444">
        <v>0</v>
      </c>
      <c r="X72" s="444">
        <v>0</v>
      </c>
      <c r="Y72" s="444">
        <v>58.285714285714285</v>
      </c>
      <c r="Z72" s="444">
        <v>13.999999999999968</v>
      </c>
      <c r="AA72" s="444">
        <v>13.999999999999968</v>
      </c>
      <c r="AB72" s="444">
        <v>0</v>
      </c>
      <c r="AC72" s="444">
        <v>0</v>
      </c>
      <c r="AD72" s="444">
        <v>361.99999999999989</v>
      </c>
      <c r="AE72" s="444">
        <v>18.999999999999964</v>
      </c>
      <c r="AF72" s="444">
        <v>10.999999999999964</v>
      </c>
      <c r="AG72" s="444">
        <v>6.999999999999984</v>
      </c>
      <c r="AH72" s="444">
        <v>5.9999999999999689</v>
      </c>
      <c r="AI72" s="444">
        <v>1.9999999999999978</v>
      </c>
      <c r="AJ72" s="444">
        <v>0.99999999999999889</v>
      </c>
      <c r="AK72" s="444">
        <v>0</v>
      </c>
      <c r="AL72" s="444">
        <v>0</v>
      </c>
      <c r="AM72" s="444">
        <v>0</v>
      </c>
      <c r="AN72" s="444">
        <v>0</v>
      </c>
      <c r="AO72" s="444">
        <v>0</v>
      </c>
      <c r="AP72" s="444">
        <v>0</v>
      </c>
      <c r="AQ72" s="444">
        <v>0</v>
      </c>
      <c r="AR72" s="444">
        <v>14.068965517241356</v>
      </c>
      <c r="AS72" s="444">
        <v>0</v>
      </c>
      <c r="AT72" s="444">
        <v>81.492075210431935</v>
      </c>
      <c r="AU72" s="444">
        <v>0</v>
      </c>
      <c r="AV72" s="444">
        <v>0</v>
      </c>
      <c r="AW72" s="444">
        <v>0</v>
      </c>
      <c r="AX72" s="444">
        <v>0</v>
      </c>
      <c r="AY72" s="444">
        <v>0</v>
      </c>
      <c r="AZ72" s="444">
        <v>0</v>
      </c>
      <c r="BA72" s="444">
        <v>0</v>
      </c>
      <c r="BB72" s="444">
        <v>0</v>
      </c>
      <c r="BC72" s="444">
        <v>0.72599999999999998</v>
      </c>
      <c r="BD72" s="444">
        <v>0</v>
      </c>
      <c r="BE72" s="444">
        <v>0</v>
      </c>
      <c r="BF72" s="444">
        <v>0</v>
      </c>
      <c r="BG72" s="444">
        <v>0</v>
      </c>
      <c r="BH72" s="458">
        <v>1</v>
      </c>
      <c r="BI72" s="444">
        <v>0</v>
      </c>
      <c r="BJ72" s="444">
        <v>1</v>
      </c>
      <c r="BK72" s="444">
        <v>0</v>
      </c>
    </row>
    <row r="73" spans="1:63" ht="14.5" x14ac:dyDescent="0.35">
      <c r="A73" s="454">
        <v>138666</v>
      </c>
      <c r="B73" s="454">
        <v>8313531</v>
      </c>
      <c r="C73" s="455" t="s">
        <v>127</v>
      </c>
      <c r="D73" s="431" t="s">
        <v>265</v>
      </c>
      <c r="E73" s="456" t="s">
        <v>767</v>
      </c>
      <c r="F73" s="457">
        <v>1</v>
      </c>
      <c r="G73" s="444">
        <v>0</v>
      </c>
      <c r="H73" s="444">
        <v>0</v>
      </c>
      <c r="I73" s="444">
        <v>7</v>
      </c>
      <c r="J73" s="444">
        <v>0</v>
      </c>
      <c r="K73" s="444">
        <v>0</v>
      </c>
      <c r="L73" s="444">
        <v>0</v>
      </c>
      <c r="M73" s="444">
        <v>342</v>
      </c>
      <c r="N73" s="444">
        <v>342</v>
      </c>
      <c r="O73" s="444">
        <v>52</v>
      </c>
      <c r="P73" s="444">
        <v>290</v>
      </c>
      <c r="Q73" s="444">
        <v>0</v>
      </c>
      <c r="R73" s="444">
        <v>0</v>
      </c>
      <c r="S73" s="444">
        <v>0</v>
      </c>
      <c r="T73" s="444">
        <v>0</v>
      </c>
      <c r="U73" s="444">
        <v>0</v>
      </c>
      <c r="V73" s="444">
        <v>0</v>
      </c>
      <c r="W73" s="444">
        <v>0</v>
      </c>
      <c r="X73" s="444">
        <v>0</v>
      </c>
      <c r="Y73" s="444">
        <v>48.857142857142854</v>
      </c>
      <c r="Z73" s="444">
        <v>76.999999999999886</v>
      </c>
      <c r="AA73" s="444">
        <v>77.999999999999829</v>
      </c>
      <c r="AB73" s="444">
        <v>0</v>
      </c>
      <c r="AC73" s="444">
        <v>0</v>
      </c>
      <c r="AD73" s="444">
        <v>224.99999999999991</v>
      </c>
      <c r="AE73" s="444">
        <v>4.9999999999999751</v>
      </c>
      <c r="AF73" s="444">
        <v>40.999999999999822</v>
      </c>
      <c r="AG73" s="444">
        <v>11.999999999999995</v>
      </c>
      <c r="AH73" s="444">
        <v>17.999999999999993</v>
      </c>
      <c r="AI73" s="444">
        <v>33.999999999999972</v>
      </c>
      <c r="AJ73" s="444">
        <v>6.9999999999999858</v>
      </c>
      <c r="AK73" s="444">
        <v>0</v>
      </c>
      <c r="AL73" s="444">
        <v>0</v>
      </c>
      <c r="AM73" s="444">
        <v>0</v>
      </c>
      <c r="AN73" s="444">
        <v>0</v>
      </c>
      <c r="AO73" s="444">
        <v>0</v>
      </c>
      <c r="AP73" s="444">
        <v>0</v>
      </c>
      <c r="AQ73" s="444">
        <v>0</v>
      </c>
      <c r="AR73" s="444">
        <v>77.834482758620453</v>
      </c>
      <c r="AS73" s="444">
        <v>0</v>
      </c>
      <c r="AT73" s="444">
        <v>77.215473451760019</v>
      </c>
      <c r="AU73" s="444">
        <v>0</v>
      </c>
      <c r="AV73" s="444">
        <v>0</v>
      </c>
      <c r="AW73" s="444">
        <v>0</v>
      </c>
      <c r="AX73" s="444">
        <v>0</v>
      </c>
      <c r="AY73" s="444">
        <v>0</v>
      </c>
      <c r="AZ73" s="444">
        <v>0</v>
      </c>
      <c r="BA73" s="444">
        <v>11.479999999999999</v>
      </c>
      <c r="BB73" s="444">
        <v>0</v>
      </c>
      <c r="BC73" s="444">
        <v>0.67900000000000005</v>
      </c>
      <c r="BD73" s="444">
        <v>0</v>
      </c>
      <c r="BE73" s="444">
        <v>0</v>
      </c>
      <c r="BF73" s="444">
        <v>0</v>
      </c>
      <c r="BG73" s="444">
        <v>0</v>
      </c>
      <c r="BH73" s="458">
        <v>1</v>
      </c>
      <c r="BI73" s="444">
        <v>0</v>
      </c>
      <c r="BJ73" s="444">
        <v>1</v>
      </c>
      <c r="BK73" s="444">
        <v>0</v>
      </c>
    </row>
    <row r="74" spans="1:63" ht="14.5" x14ac:dyDescent="0.35">
      <c r="A74" s="454">
        <v>147490</v>
      </c>
      <c r="B74" s="454">
        <v>8313532</v>
      </c>
      <c r="C74" s="455" t="s">
        <v>128</v>
      </c>
      <c r="D74" s="431" t="s">
        <v>265</v>
      </c>
      <c r="E74" s="456" t="s">
        <v>767</v>
      </c>
      <c r="F74" s="457">
        <v>1</v>
      </c>
      <c r="G74" s="444">
        <v>0</v>
      </c>
      <c r="H74" s="444">
        <v>0</v>
      </c>
      <c r="I74" s="444">
        <v>7</v>
      </c>
      <c r="J74" s="444">
        <v>0</v>
      </c>
      <c r="K74" s="444">
        <v>0</v>
      </c>
      <c r="L74" s="444">
        <v>0</v>
      </c>
      <c r="M74" s="444">
        <v>284</v>
      </c>
      <c r="N74" s="444">
        <v>284</v>
      </c>
      <c r="O74" s="444">
        <v>36</v>
      </c>
      <c r="P74" s="444">
        <v>248</v>
      </c>
      <c r="Q74" s="444">
        <v>0</v>
      </c>
      <c r="R74" s="444">
        <v>0</v>
      </c>
      <c r="S74" s="444">
        <v>0</v>
      </c>
      <c r="T74" s="444">
        <v>0</v>
      </c>
      <c r="U74" s="444">
        <v>0</v>
      </c>
      <c r="V74" s="444">
        <v>0</v>
      </c>
      <c r="W74" s="444">
        <v>0</v>
      </c>
      <c r="X74" s="444">
        <v>0</v>
      </c>
      <c r="Y74" s="444">
        <v>40.571428571428569</v>
      </c>
      <c r="Z74" s="444">
        <v>46.999999999999751</v>
      </c>
      <c r="AA74" s="444">
        <v>46.999999999999751</v>
      </c>
      <c r="AB74" s="444">
        <v>0</v>
      </c>
      <c r="AC74" s="444">
        <v>0</v>
      </c>
      <c r="AD74" s="444">
        <v>203.99999999999983</v>
      </c>
      <c r="AE74" s="444">
        <v>55.999999999999915</v>
      </c>
      <c r="AF74" s="444">
        <v>10.999999999999975</v>
      </c>
      <c r="AG74" s="444">
        <v>3.9999999999999942</v>
      </c>
      <c r="AH74" s="444">
        <v>5.9999999999999769</v>
      </c>
      <c r="AI74" s="444">
        <v>2.9999999999999885</v>
      </c>
      <c r="AJ74" s="444">
        <v>0</v>
      </c>
      <c r="AK74" s="444">
        <v>0</v>
      </c>
      <c r="AL74" s="444">
        <v>0</v>
      </c>
      <c r="AM74" s="444">
        <v>0</v>
      </c>
      <c r="AN74" s="444">
        <v>0</v>
      </c>
      <c r="AO74" s="444">
        <v>0</v>
      </c>
      <c r="AP74" s="444">
        <v>0</v>
      </c>
      <c r="AQ74" s="444">
        <v>0</v>
      </c>
      <c r="AR74" s="444">
        <v>12.596774193548383</v>
      </c>
      <c r="AS74" s="444">
        <v>0</v>
      </c>
      <c r="AT74" s="444">
        <v>67.473568896076529</v>
      </c>
      <c r="AU74" s="444">
        <v>0</v>
      </c>
      <c r="AV74" s="444">
        <v>0</v>
      </c>
      <c r="AW74" s="444">
        <v>0</v>
      </c>
      <c r="AX74" s="444">
        <v>0</v>
      </c>
      <c r="AY74" s="444">
        <v>0</v>
      </c>
      <c r="AZ74" s="444">
        <v>0</v>
      </c>
      <c r="BA74" s="444">
        <v>0</v>
      </c>
      <c r="BB74" s="444">
        <v>0</v>
      </c>
      <c r="BC74" s="444">
        <v>0.65700000000000003</v>
      </c>
      <c r="BD74" s="444">
        <v>0</v>
      </c>
      <c r="BE74" s="444">
        <v>0</v>
      </c>
      <c r="BF74" s="444">
        <v>0</v>
      </c>
      <c r="BG74" s="444">
        <v>0</v>
      </c>
      <c r="BH74" s="458">
        <v>1</v>
      </c>
      <c r="BI74" s="444">
        <v>0</v>
      </c>
      <c r="BJ74" s="444">
        <v>1</v>
      </c>
      <c r="BK74" s="444">
        <v>0</v>
      </c>
    </row>
    <row r="75" spans="1:63" ht="14.5" x14ac:dyDescent="0.35">
      <c r="A75" s="454">
        <v>148368</v>
      </c>
      <c r="B75" s="454">
        <v>8313535</v>
      </c>
      <c r="C75" s="455" t="s">
        <v>129</v>
      </c>
      <c r="D75" s="431" t="s">
        <v>265</v>
      </c>
      <c r="E75" s="456" t="s">
        <v>767</v>
      </c>
      <c r="F75" s="457">
        <v>1</v>
      </c>
      <c r="G75" s="444">
        <v>0</v>
      </c>
      <c r="H75" s="444">
        <v>0</v>
      </c>
      <c r="I75" s="444">
        <v>4</v>
      </c>
      <c r="J75" s="444">
        <v>0</v>
      </c>
      <c r="K75" s="444">
        <v>0</v>
      </c>
      <c r="L75" s="444">
        <v>0</v>
      </c>
      <c r="M75" s="444">
        <v>299</v>
      </c>
      <c r="N75" s="444">
        <v>299</v>
      </c>
      <c r="O75" s="444">
        <v>0</v>
      </c>
      <c r="P75" s="444">
        <v>299</v>
      </c>
      <c r="Q75" s="444">
        <v>0</v>
      </c>
      <c r="R75" s="444">
        <v>0</v>
      </c>
      <c r="S75" s="444">
        <v>0</v>
      </c>
      <c r="T75" s="444">
        <v>0</v>
      </c>
      <c r="U75" s="444">
        <v>0</v>
      </c>
      <c r="V75" s="444">
        <v>0</v>
      </c>
      <c r="W75" s="444">
        <v>0</v>
      </c>
      <c r="X75" s="444">
        <v>0</v>
      </c>
      <c r="Y75" s="444">
        <v>74.75</v>
      </c>
      <c r="Z75" s="444">
        <v>176.99999999999994</v>
      </c>
      <c r="AA75" s="444">
        <v>177.99999999999989</v>
      </c>
      <c r="AB75" s="444">
        <v>0</v>
      </c>
      <c r="AC75" s="444">
        <v>0</v>
      </c>
      <c r="AD75" s="444">
        <v>8.0268456375838877</v>
      </c>
      <c r="AE75" s="444">
        <v>47.157718120805335</v>
      </c>
      <c r="AF75" s="444">
        <v>74.248322147650796</v>
      </c>
      <c r="AG75" s="444">
        <v>84.281879194630733</v>
      </c>
      <c r="AH75" s="444">
        <v>54.181208053691222</v>
      </c>
      <c r="AI75" s="444">
        <v>7.0234899328858935</v>
      </c>
      <c r="AJ75" s="444">
        <v>24.080536912751665</v>
      </c>
      <c r="AK75" s="444">
        <v>0</v>
      </c>
      <c r="AL75" s="444">
        <v>0</v>
      </c>
      <c r="AM75" s="444">
        <v>0</v>
      </c>
      <c r="AN75" s="444">
        <v>0</v>
      </c>
      <c r="AO75" s="444">
        <v>0</v>
      </c>
      <c r="AP75" s="444">
        <v>0</v>
      </c>
      <c r="AQ75" s="444">
        <v>0</v>
      </c>
      <c r="AR75" s="444">
        <v>103.99999999999979</v>
      </c>
      <c r="AS75" s="444">
        <v>0</v>
      </c>
      <c r="AT75" s="444">
        <v>122.92820421200261</v>
      </c>
      <c r="AU75" s="444">
        <v>0</v>
      </c>
      <c r="AV75" s="444">
        <v>0</v>
      </c>
      <c r="AW75" s="444">
        <v>0</v>
      </c>
      <c r="AX75" s="444">
        <v>0</v>
      </c>
      <c r="AY75" s="444">
        <v>0</v>
      </c>
      <c r="AZ75" s="444">
        <v>0</v>
      </c>
      <c r="BA75" s="444">
        <v>5.1371812080536712</v>
      </c>
      <c r="BB75" s="444">
        <v>0</v>
      </c>
      <c r="BC75" s="444">
        <v>0.51800000000000002</v>
      </c>
      <c r="BD75" s="444">
        <v>0</v>
      </c>
      <c r="BE75" s="444">
        <v>0</v>
      </c>
      <c r="BF75" s="444">
        <v>0</v>
      </c>
      <c r="BG75" s="444">
        <v>0</v>
      </c>
      <c r="BH75" s="458">
        <v>1</v>
      </c>
      <c r="BI75" s="444">
        <v>0</v>
      </c>
      <c r="BJ75" s="444">
        <v>1</v>
      </c>
      <c r="BK75" s="444">
        <v>0</v>
      </c>
    </row>
    <row r="76" spans="1:63" ht="14.5" x14ac:dyDescent="0.35">
      <c r="A76" s="454">
        <v>146104</v>
      </c>
      <c r="B76" s="454">
        <v>8313542</v>
      </c>
      <c r="C76" s="455" t="s">
        <v>130</v>
      </c>
      <c r="D76" s="431" t="s">
        <v>265</v>
      </c>
      <c r="E76" s="456" t="s">
        <v>767</v>
      </c>
      <c r="F76" s="457">
        <v>1</v>
      </c>
      <c r="G76" s="444">
        <v>0</v>
      </c>
      <c r="H76" s="444">
        <v>0</v>
      </c>
      <c r="I76" s="444">
        <v>7</v>
      </c>
      <c r="J76" s="444">
        <v>0</v>
      </c>
      <c r="K76" s="444">
        <v>0</v>
      </c>
      <c r="L76" s="444">
        <v>0</v>
      </c>
      <c r="M76" s="444">
        <v>375</v>
      </c>
      <c r="N76" s="444">
        <v>375</v>
      </c>
      <c r="O76" s="444">
        <v>50</v>
      </c>
      <c r="P76" s="444">
        <v>325</v>
      </c>
      <c r="Q76" s="444">
        <v>0</v>
      </c>
      <c r="R76" s="444">
        <v>0</v>
      </c>
      <c r="S76" s="444">
        <v>0</v>
      </c>
      <c r="T76" s="444">
        <v>0</v>
      </c>
      <c r="U76" s="444">
        <v>0</v>
      </c>
      <c r="V76" s="444">
        <v>0</v>
      </c>
      <c r="W76" s="444">
        <v>0</v>
      </c>
      <c r="X76" s="444">
        <v>0</v>
      </c>
      <c r="Y76" s="444">
        <v>53.571428571428569</v>
      </c>
      <c r="Z76" s="444">
        <v>82.999999999999872</v>
      </c>
      <c r="AA76" s="444">
        <v>84.999999999999744</v>
      </c>
      <c r="AB76" s="444">
        <v>0</v>
      </c>
      <c r="AC76" s="444">
        <v>0</v>
      </c>
      <c r="AD76" s="444">
        <v>81</v>
      </c>
      <c r="AE76" s="444">
        <v>24</v>
      </c>
      <c r="AF76" s="444">
        <v>114</v>
      </c>
      <c r="AG76" s="444">
        <v>43.999999999999872</v>
      </c>
      <c r="AH76" s="444">
        <v>51.000000000000007</v>
      </c>
      <c r="AI76" s="444">
        <v>45</v>
      </c>
      <c r="AJ76" s="444">
        <v>15.999999999999977</v>
      </c>
      <c r="AK76" s="444">
        <v>0</v>
      </c>
      <c r="AL76" s="444">
        <v>0</v>
      </c>
      <c r="AM76" s="444">
        <v>0</v>
      </c>
      <c r="AN76" s="444">
        <v>0</v>
      </c>
      <c r="AO76" s="444">
        <v>0</v>
      </c>
      <c r="AP76" s="444">
        <v>0</v>
      </c>
      <c r="AQ76" s="444">
        <v>0</v>
      </c>
      <c r="AR76" s="444">
        <v>167.30769230769226</v>
      </c>
      <c r="AS76" s="444">
        <v>0</v>
      </c>
      <c r="AT76" s="444">
        <v>114.35112757769139</v>
      </c>
      <c r="AU76" s="444">
        <v>0</v>
      </c>
      <c r="AV76" s="444">
        <v>0</v>
      </c>
      <c r="AW76" s="444">
        <v>0</v>
      </c>
      <c r="AX76" s="444">
        <v>0</v>
      </c>
      <c r="AY76" s="444">
        <v>0</v>
      </c>
      <c r="AZ76" s="444">
        <v>0</v>
      </c>
      <c r="BA76" s="444">
        <v>0.49999999999998918</v>
      </c>
      <c r="BB76" s="444">
        <v>0</v>
      </c>
      <c r="BC76" s="444">
        <v>0.40699999999999997</v>
      </c>
      <c r="BD76" s="444">
        <v>0</v>
      </c>
      <c r="BE76" s="444">
        <v>0</v>
      </c>
      <c r="BF76" s="444">
        <v>0</v>
      </c>
      <c r="BG76" s="444">
        <v>0</v>
      </c>
      <c r="BH76" s="458">
        <v>1</v>
      </c>
      <c r="BI76" s="444">
        <v>0</v>
      </c>
      <c r="BJ76" s="444">
        <v>1</v>
      </c>
      <c r="BK76" s="444">
        <v>0</v>
      </c>
    </row>
    <row r="77" spans="1:63" ht="14.5" x14ac:dyDescent="0.35">
      <c r="A77" s="454">
        <v>146253</v>
      </c>
      <c r="B77" s="454">
        <v>8313543</v>
      </c>
      <c r="C77" s="455" t="s">
        <v>131</v>
      </c>
      <c r="D77" s="431" t="s">
        <v>265</v>
      </c>
      <c r="E77" s="456" t="s">
        <v>767</v>
      </c>
      <c r="F77" s="457">
        <v>1</v>
      </c>
      <c r="G77" s="444">
        <v>0</v>
      </c>
      <c r="H77" s="444">
        <v>0</v>
      </c>
      <c r="I77" s="444">
        <v>7</v>
      </c>
      <c r="J77" s="444">
        <v>0</v>
      </c>
      <c r="K77" s="444">
        <v>0</v>
      </c>
      <c r="L77" s="444">
        <v>0</v>
      </c>
      <c r="M77" s="444">
        <v>304</v>
      </c>
      <c r="N77" s="444">
        <v>304</v>
      </c>
      <c r="O77" s="444">
        <v>44</v>
      </c>
      <c r="P77" s="444">
        <v>260</v>
      </c>
      <c r="Q77" s="444">
        <v>0</v>
      </c>
      <c r="R77" s="444">
        <v>0</v>
      </c>
      <c r="S77" s="444">
        <v>0</v>
      </c>
      <c r="T77" s="444">
        <v>0</v>
      </c>
      <c r="U77" s="444">
        <v>0</v>
      </c>
      <c r="V77" s="444">
        <v>0</v>
      </c>
      <c r="W77" s="444">
        <v>0</v>
      </c>
      <c r="X77" s="444">
        <v>0</v>
      </c>
      <c r="Y77" s="444">
        <v>43.428571428571431</v>
      </c>
      <c r="Z77" s="444">
        <v>41.999999999999972</v>
      </c>
      <c r="AA77" s="444">
        <v>42.999999999999801</v>
      </c>
      <c r="AB77" s="444">
        <v>0</v>
      </c>
      <c r="AC77" s="444">
        <v>0</v>
      </c>
      <c r="AD77" s="444">
        <v>154.99999999999983</v>
      </c>
      <c r="AE77" s="444">
        <v>58.999999999999979</v>
      </c>
      <c r="AF77" s="444">
        <v>34.999999999999872</v>
      </c>
      <c r="AG77" s="444">
        <v>10.999999999999973</v>
      </c>
      <c r="AH77" s="444">
        <v>4.9999999999999902</v>
      </c>
      <c r="AI77" s="444">
        <v>23.999999999999989</v>
      </c>
      <c r="AJ77" s="444">
        <v>14.999999999999972</v>
      </c>
      <c r="AK77" s="444">
        <v>0</v>
      </c>
      <c r="AL77" s="444">
        <v>0</v>
      </c>
      <c r="AM77" s="444">
        <v>0</v>
      </c>
      <c r="AN77" s="444">
        <v>0</v>
      </c>
      <c r="AO77" s="444">
        <v>0</v>
      </c>
      <c r="AP77" s="444">
        <v>0</v>
      </c>
      <c r="AQ77" s="444">
        <v>0</v>
      </c>
      <c r="AR77" s="444">
        <v>29.230769230769216</v>
      </c>
      <c r="AS77" s="444">
        <v>0</v>
      </c>
      <c r="AT77" s="444">
        <v>101.96365688220838</v>
      </c>
      <c r="AU77" s="444">
        <v>0</v>
      </c>
      <c r="AV77" s="444">
        <v>0</v>
      </c>
      <c r="AW77" s="444">
        <v>0</v>
      </c>
      <c r="AX77" s="444">
        <v>0</v>
      </c>
      <c r="AY77" s="444">
        <v>0</v>
      </c>
      <c r="AZ77" s="444">
        <v>0</v>
      </c>
      <c r="BA77" s="444">
        <v>0</v>
      </c>
      <c r="BB77" s="444">
        <v>0</v>
      </c>
      <c r="BC77" s="444">
        <v>0.75900000000000001</v>
      </c>
      <c r="BD77" s="444">
        <v>0</v>
      </c>
      <c r="BE77" s="444">
        <v>0</v>
      </c>
      <c r="BF77" s="444">
        <v>0</v>
      </c>
      <c r="BG77" s="444">
        <v>0</v>
      </c>
      <c r="BH77" s="458">
        <v>1</v>
      </c>
      <c r="BI77" s="444">
        <v>0</v>
      </c>
      <c r="BJ77" s="444">
        <v>1</v>
      </c>
      <c r="BK77" s="444">
        <v>0</v>
      </c>
    </row>
    <row r="78" spans="1:63" ht="14.5" x14ac:dyDescent="0.35">
      <c r="A78" s="454">
        <v>143875</v>
      </c>
      <c r="B78" s="454">
        <v>8313544</v>
      </c>
      <c r="C78" s="455" t="s">
        <v>132</v>
      </c>
      <c r="D78" s="431" t="s">
        <v>265</v>
      </c>
      <c r="E78" s="456" t="s">
        <v>767</v>
      </c>
      <c r="F78" s="457">
        <v>1</v>
      </c>
      <c r="G78" s="444">
        <v>0</v>
      </c>
      <c r="H78" s="444">
        <v>0</v>
      </c>
      <c r="I78" s="444">
        <v>7</v>
      </c>
      <c r="J78" s="444">
        <v>0</v>
      </c>
      <c r="K78" s="444">
        <v>0</v>
      </c>
      <c r="L78" s="444">
        <v>0</v>
      </c>
      <c r="M78" s="444">
        <v>540</v>
      </c>
      <c r="N78" s="444">
        <v>540</v>
      </c>
      <c r="O78" s="444">
        <v>60</v>
      </c>
      <c r="P78" s="444">
        <v>480</v>
      </c>
      <c r="Q78" s="444">
        <v>0</v>
      </c>
      <c r="R78" s="444">
        <v>0</v>
      </c>
      <c r="S78" s="444">
        <v>0</v>
      </c>
      <c r="T78" s="444">
        <v>0</v>
      </c>
      <c r="U78" s="444">
        <v>0</v>
      </c>
      <c r="V78" s="444">
        <v>0</v>
      </c>
      <c r="W78" s="444">
        <v>0</v>
      </c>
      <c r="X78" s="444">
        <v>0</v>
      </c>
      <c r="Y78" s="444">
        <v>77.142857142857139</v>
      </c>
      <c r="Z78" s="444">
        <v>366.99999999999966</v>
      </c>
      <c r="AA78" s="444">
        <v>369.99999999999989</v>
      </c>
      <c r="AB78" s="444">
        <v>0</v>
      </c>
      <c r="AC78" s="444">
        <v>0</v>
      </c>
      <c r="AD78" s="444">
        <v>23.999999999999975</v>
      </c>
      <c r="AE78" s="444">
        <v>6.9999999999999662</v>
      </c>
      <c r="AF78" s="444">
        <v>41.999999999999957</v>
      </c>
      <c r="AG78" s="444">
        <v>232.99999999999974</v>
      </c>
      <c r="AH78" s="444">
        <v>220.99999999999986</v>
      </c>
      <c r="AI78" s="444">
        <v>4.9999999999999947</v>
      </c>
      <c r="AJ78" s="444">
        <v>7.999999999999992</v>
      </c>
      <c r="AK78" s="444">
        <v>0</v>
      </c>
      <c r="AL78" s="444">
        <v>0</v>
      </c>
      <c r="AM78" s="444">
        <v>0</v>
      </c>
      <c r="AN78" s="444">
        <v>0</v>
      </c>
      <c r="AO78" s="444">
        <v>0</v>
      </c>
      <c r="AP78" s="444">
        <v>0</v>
      </c>
      <c r="AQ78" s="444">
        <v>0</v>
      </c>
      <c r="AR78" s="444">
        <v>235.12499999999963</v>
      </c>
      <c r="AS78" s="444">
        <v>0</v>
      </c>
      <c r="AT78" s="444">
        <v>269.70503902341659</v>
      </c>
      <c r="AU78" s="444">
        <v>0</v>
      </c>
      <c r="AV78" s="444">
        <v>0</v>
      </c>
      <c r="AW78" s="444">
        <v>0</v>
      </c>
      <c r="AX78" s="444">
        <v>0</v>
      </c>
      <c r="AY78" s="444">
        <v>0</v>
      </c>
      <c r="AZ78" s="444">
        <v>0</v>
      </c>
      <c r="BA78" s="444">
        <v>0</v>
      </c>
      <c r="BB78" s="444">
        <v>0</v>
      </c>
      <c r="BC78" s="444">
        <v>0.34899999999999998</v>
      </c>
      <c r="BD78" s="444">
        <v>0</v>
      </c>
      <c r="BE78" s="444">
        <v>0</v>
      </c>
      <c r="BF78" s="444">
        <v>0</v>
      </c>
      <c r="BG78" s="444">
        <v>0</v>
      </c>
      <c r="BH78" s="458">
        <v>1</v>
      </c>
      <c r="BI78" s="444">
        <v>0</v>
      </c>
      <c r="BJ78" s="444">
        <v>1</v>
      </c>
      <c r="BK78" s="444">
        <v>0</v>
      </c>
    </row>
    <row r="79" spans="1:63" ht="14.5" x14ac:dyDescent="0.35">
      <c r="A79" s="454">
        <v>145760</v>
      </c>
      <c r="B79" s="454">
        <v>8313546</v>
      </c>
      <c r="C79" s="455" t="s">
        <v>133</v>
      </c>
      <c r="D79" s="431" t="s">
        <v>265</v>
      </c>
      <c r="E79" s="456" t="s">
        <v>767</v>
      </c>
      <c r="F79" s="457">
        <v>1</v>
      </c>
      <c r="G79" s="444">
        <v>0</v>
      </c>
      <c r="H79" s="444">
        <v>0</v>
      </c>
      <c r="I79" s="444">
        <v>7</v>
      </c>
      <c r="J79" s="444">
        <v>0</v>
      </c>
      <c r="K79" s="444">
        <v>0</v>
      </c>
      <c r="L79" s="444">
        <v>0</v>
      </c>
      <c r="M79" s="444">
        <v>620</v>
      </c>
      <c r="N79" s="444">
        <v>620</v>
      </c>
      <c r="O79" s="444">
        <v>82</v>
      </c>
      <c r="P79" s="444">
        <v>538</v>
      </c>
      <c r="Q79" s="444">
        <v>0</v>
      </c>
      <c r="R79" s="444">
        <v>0</v>
      </c>
      <c r="S79" s="444">
        <v>0</v>
      </c>
      <c r="T79" s="444">
        <v>0</v>
      </c>
      <c r="U79" s="444">
        <v>0</v>
      </c>
      <c r="V79" s="444">
        <v>0</v>
      </c>
      <c r="W79" s="444">
        <v>0</v>
      </c>
      <c r="X79" s="444">
        <v>0</v>
      </c>
      <c r="Y79" s="444">
        <v>88.571428571428569</v>
      </c>
      <c r="Z79" s="444">
        <v>389.99999999999994</v>
      </c>
      <c r="AA79" s="444">
        <v>391.99999999999994</v>
      </c>
      <c r="AB79" s="444">
        <v>0</v>
      </c>
      <c r="AC79" s="444">
        <v>0</v>
      </c>
      <c r="AD79" s="444">
        <v>129.99999999999955</v>
      </c>
      <c r="AE79" s="444">
        <v>6.9999999999999618</v>
      </c>
      <c r="AF79" s="444">
        <v>144.99999999999969</v>
      </c>
      <c r="AG79" s="444">
        <v>147.99999999999949</v>
      </c>
      <c r="AH79" s="444">
        <v>23.999999999999975</v>
      </c>
      <c r="AI79" s="444">
        <v>151.9999999999996</v>
      </c>
      <c r="AJ79" s="444">
        <v>13.999999999999986</v>
      </c>
      <c r="AK79" s="444">
        <v>0</v>
      </c>
      <c r="AL79" s="444">
        <v>0</v>
      </c>
      <c r="AM79" s="444">
        <v>0</v>
      </c>
      <c r="AN79" s="444">
        <v>0</v>
      </c>
      <c r="AO79" s="444">
        <v>0</v>
      </c>
      <c r="AP79" s="444">
        <v>0</v>
      </c>
      <c r="AQ79" s="444">
        <v>0</v>
      </c>
      <c r="AR79" s="444">
        <v>235.09293680297398</v>
      </c>
      <c r="AS79" s="444">
        <v>0</v>
      </c>
      <c r="AT79" s="444">
        <v>261.18978811977206</v>
      </c>
      <c r="AU79" s="444">
        <v>0</v>
      </c>
      <c r="AV79" s="444">
        <v>0</v>
      </c>
      <c r="AW79" s="444">
        <v>0</v>
      </c>
      <c r="AX79" s="444">
        <v>0</v>
      </c>
      <c r="AY79" s="444">
        <v>0</v>
      </c>
      <c r="AZ79" s="444">
        <v>0</v>
      </c>
      <c r="BA79" s="444">
        <v>6.799999999999959</v>
      </c>
      <c r="BB79" s="444">
        <v>0</v>
      </c>
      <c r="BC79" s="444">
        <v>0.54200000000000004</v>
      </c>
      <c r="BD79" s="444">
        <v>0</v>
      </c>
      <c r="BE79" s="444">
        <v>0</v>
      </c>
      <c r="BF79" s="444">
        <v>0</v>
      </c>
      <c r="BG79" s="444">
        <v>0</v>
      </c>
      <c r="BH79" s="458">
        <v>1</v>
      </c>
      <c r="BI79" s="444">
        <v>0</v>
      </c>
      <c r="BJ79" s="444">
        <v>1</v>
      </c>
      <c r="BK79" s="444">
        <v>0</v>
      </c>
    </row>
    <row r="80" spans="1:63" ht="14.5" x14ac:dyDescent="0.35">
      <c r="A80" s="454">
        <v>138776</v>
      </c>
      <c r="B80" s="454">
        <v>8314000</v>
      </c>
      <c r="C80" s="455" t="s">
        <v>134</v>
      </c>
      <c r="D80" s="431" t="s">
        <v>265</v>
      </c>
      <c r="E80" s="456" t="s">
        <v>767</v>
      </c>
      <c r="F80" s="457">
        <v>1</v>
      </c>
      <c r="G80" s="444">
        <v>0</v>
      </c>
      <c r="H80" s="444">
        <v>0</v>
      </c>
      <c r="I80" s="444">
        <v>7</v>
      </c>
      <c r="J80" s="444">
        <v>0</v>
      </c>
      <c r="K80" s="444">
        <v>0</v>
      </c>
      <c r="L80" s="444">
        <v>0</v>
      </c>
      <c r="M80" s="444">
        <v>418</v>
      </c>
      <c r="N80" s="444">
        <v>418</v>
      </c>
      <c r="O80" s="444">
        <v>60</v>
      </c>
      <c r="P80" s="444">
        <v>358</v>
      </c>
      <c r="Q80" s="444">
        <v>0</v>
      </c>
      <c r="R80" s="444">
        <v>0</v>
      </c>
      <c r="S80" s="444">
        <v>0</v>
      </c>
      <c r="T80" s="444">
        <v>0</v>
      </c>
      <c r="U80" s="444">
        <v>0</v>
      </c>
      <c r="V80" s="444">
        <v>0</v>
      </c>
      <c r="W80" s="444">
        <v>0</v>
      </c>
      <c r="X80" s="444">
        <v>0</v>
      </c>
      <c r="Y80" s="444">
        <v>59.714285714285715</v>
      </c>
      <c r="Z80" s="444">
        <v>251.99999999999991</v>
      </c>
      <c r="AA80" s="444">
        <v>251.99999999999991</v>
      </c>
      <c r="AB80" s="444">
        <v>0</v>
      </c>
      <c r="AC80" s="444">
        <v>0</v>
      </c>
      <c r="AD80" s="444">
        <v>81.585542168674579</v>
      </c>
      <c r="AE80" s="444">
        <v>39.281927710843362</v>
      </c>
      <c r="AF80" s="444">
        <v>65.469879518072133</v>
      </c>
      <c r="AG80" s="444">
        <v>89.643373493975815</v>
      </c>
      <c r="AH80" s="444">
        <v>65.469879518072133</v>
      </c>
      <c r="AI80" s="444">
        <v>45.325301204819262</v>
      </c>
      <c r="AJ80" s="444">
        <v>31.224096385542168</v>
      </c>
      <c r="AK80" s="444">
        <v>0</v>
      </c>
      <c r="AL80" s="444">
        <v>0</v>
      </c>
      <c r="AM80" s="444">
        <v>0</v>
      </c>
      <c r="AN80" s="444">
        <v>0</v>
      </c>
      <c r="AO80" s="444">
        <v>0</v>
      </c>
      <c r="AP80" s="444">
        <v>0</v>
      </c>
      <c r="AQ80" s="444">
        <v>0</v>
      </c>
      <c r="AR80" s="444">
        <v>184.48044692737429</v>
      </c>
      <c r="AS80" s="444">
        <v>0</v>
      </c>
      <c r="AT80" s="444">
        <v>127.08172940500972</v>
      </c>
      <c r="AU80" s="444">
        <v>0</v>
      </c>
      <c r="AV80" s="444">
        <v>0</v>
      </c>
      <c r="AW80" s="444">
        <v>0</v>
      </c>
      <c r="AX80" s="444">
        <v>0</v>
      </c>
      <c r="AY80" s="444">
        <v>0</v>
      </c>
      <c r="AZ80" s="444">
        <v>0</v>
      </c>
      <c r="BA80" s="444">
        <v>5.9943405275779194</v>
      </c>
      <c r="BB80" s="444">
        <v>0</v>
      </c>
      <c r="BC80" s="444">
        <v>0.56999999999999995</v>
      </c>
      <c r="BD80" s="444">
        <v>0</v>
      </c>
      <c r="BE80" s="444">
        <v>0</v>
      </c>
      <c r="BF80" s="444">
        <v>0</v>
      </c>
      <c r="BG80" s="444">
        <v>0</v>
      </c>
      <c r="BH80" s="458">
        <v>1</v>
      </c>
      <c r="BI80" s="444">
        <v>0</v>
      </c>
      <c r="BJ80" s="444">
        <v>1</v>
      </c>
      <c r="BK80" s="444">
        <v>0</v>
      </c>
    </row>
    <row r="81" spans="1:63" ht="14.5" x14ac:dyDescent="0.35">
      <c r="A81" s="454">
        <v>146847</v>
      </c>
      <c r="B81" s="454">
        <v>8315201</v>
      </c>
      <c r="C81" s="455" t="s">
        <v>135</v>
      </c>
      <c r="D81" s="431" t="s">
        <v>265</v>
      </c>
      <c r="E81" s="456" t="s">
        <v>767</v>
      </c>
      <c r="F81" s="457">
        <v>1</v>
      </c>
      <c r="G81" s="444">
        <v>0</v>
      </c>
      <c r="H81" s="444">
        <v>0</v>
      </c>
      <c r="I81" s="444">
        <v>7</v>
      </c>
      <c r="J81" s="444">
        <v>0</v>
      </c>
      <c r="K81" s="444">
        <v>0</v>
      </c>
      <c r="L81" s="444">
        <v>0</v>
      </c>
      <c r="M81" s="444">
        <v>260</v>
      </c>
      <c r="N81" s="444">
        <v>260</v>
      </c>
      <c r="O81" s="444">
        <v>26</v>
      </c>
      <c r="P81" s="444">
        <v>234</v>
      </c>
      <c r="Q81" s="444">
        <v>0</v>
      </c>
      <c r="R81" s="444">
        <v>0</v>
      </c>
      <c r="S81" s="444">
        <v>0</v>
      </c>
      <c r="T81" s="444">
        <v>0</v>
      </c>
      <c r="U81" s="444">
        <v>0</v>
      </c>
      <c r="V81" s="444">
        <v>0</v>
      </c>
      <c r="W81" s="444">
        <v>0</v>
      </c>
      <c r="X81" s="444">
        <v>0</v>
      </c>
      <c r="Y81" s="444">
        <v>37.142857142857146</v>
      </c>
      <c r="Z81" s="444">
        <v>80.999999999999858</v>
      </c>
      <c r="AA81" s="444">
        <v>80.999999999999858</v>
      </c>
      <c r="AB81" s="444">
        <v>0</v>
      </c>
      <c r="AC81" s="444">
        <v>0</v>
      </c>
      <c r="AD81" s="444">
        <v>169</v>
      </c>
      <c r="AE81" s="444">
        <v>21.999999999999996</v>
      </c>
      <c r="AF81" s="444">
        <v>26</v>
      </c>
      <c r="AG81" s="444">
        <v>1.9999999999999993</v>
      </c>
      <c r="AH81" s="444">
        <v>35.999999999999879</v>
      </c>
      <c r="AI81" s="444">
        <v>1.9999999999999993</v>
      </c>
      <c r="AJ81" s="444">
        <v>2.9999999999999898</v>
      </c>
      <c r="AK81" s="444">
        <v>0</v>
      </c>
      <c r="AL81" s="444">
        <v>0</v>
      </c>
      <c r="AM81" s="444">
        <v>0</v>
      </c>
      <c r="AN81" s="444">
        <v>0</v>
      </c>
      <c r="AO81" s="444">
        <v>0</v>
      </c>
      <c r="AP81" s="444">
        <v>0</v>
      </c>
      <c r="AQ81" s="444">
        <v>0</v>
      </c>
      <c r="AR81" s="444">
        <v>18.888888888888875</v>
      </c>
      <c r="AS81" s="444">
        <v>0</v>
      </c>
      <c r="AT81" s="444">
        <v>77.591572032539503</v>
      </c>
      <c r="AU81" s="444">
        <v>0</v>
      </c>
      <c r="AV81" s="444">
        <v>0</v>
      </c>
      <c r="AW81" s="444">
        <v>0</v>
      </c>
      <c r="AX81" s="444">
        <v>0</v>
      </c>
      <c r="AY81" s="444">
        <v>0</v>
      </c>
      <c r="AZ81" s="444">
        <v>0</v>
      </c>
      <c r="BA81" s="444">
        <v>5.3999999999999835</v>
      </c>
      <c r="BB81" s="444">
        <v>0</v>
      </c>
      <c r="BC81" s="444">
        <v>0.92300000000000004</v>
      </c>
      <c r="BD81" s="444">
        <v>0</v>
      </c>
      <c r="BE81" s="444">
        <v>0</v>
      </c>
      <c r="BF81" s="444">
        <v>0</v>
      </c>
      <c r="BG81" s="444">
        <v>0</v>
      </c>
      <c r="BH81" s="458">
        <v>1</v>
      </c>
      <c r="BI81" s="444">
        <v>0</v>
      </c>
      <c r="BJ81" s="444">
        <v>1</v>
      </c>
      <c r="BK81" s="444">
        <v>0</v>
      </c>
    </row>
    <row r="82" spans="1:63" ht="14.5" x14ac:dyDescent="0.35">
      <c r="A82" s="454">
        <v>146500</v>
      </c>
      <c r="B82" s="454">
        <v>8315203</v>
      </c>
      <c r="C82" s="455" t="s">
        <v>136</v>
      </c>
      <c r="D82" s="431" t="s">
        <v>265</v>
      </c>
      <c r="E82" s="456" t="s">
        <v>767</v>
      </c>
      <c r="F82" s="457">
        <v>1</v>
      </c>
      <c r="G82" s="444">
        <v>0</v>
      </c>
      <c r="H82" s="444">
        <v>0</v>
      </c>
      <c r="I82" s="444">
        <v>4</v>
      </c>
      <c r="J82" s="444">
        <v>0</v>
      </c>
      <c r="K82" s="444">
        <v>0</v>
      </c>
      <c r="L82" s="444">
        <v>0</v>
      </c>
      <c r="M82" s="444">
        <v>415</v>
      </c>
      <c r="N82" s="444">
        <v>415</v>
      </c>
      <c r="O82" s="444">
        <v>0</v>
      </c>
      <c r="P82" s="444">
        <v>415</v>
      </c>
      <c r="Q82" s="444">
        <v>0</v>
      </c>
      <c r="R82" s="444">
        <v>0</v>
      </c>
      <c r="S82" s="444">
        <v>0</v>
      </c>
      <c r="T82" s="444">
        <v>0</v>
      </c>
      <c r="U82" s="444">
        <v>0</v>
      </c>
      <c r="V82" s="444">
        <v>0</v>
      </c>
      <c r="W82" s="444">
        <v>0</v>
      </c>
      <c r="X82" s="444">
        <v>0</v>
      </c>
      <c r="Y82" s="444">
        <v>103.75</v>
      </c>
      <c r="Z82" s="444">
        <v>119.99999999999994</v>
      </c>
      <c r="AA82" s="444">
        <v>124.99999999999983</v>
      </c>
      <c r="AB82" s="444">
        <v>0</v>
      </c>
      <c r="AC82" s="444">
        <v>0</v>
      </c>
      <c r="AD82" s="444">
        <v>333.60774818401927</v>
      </c>
      <c r="AE82" s="444">
        <v>59.285714285713922</v>
      </c>
      <c r="AF82" s="444">
        <v>4.0193704600484246</v>
      </c>
      <c r="AG82" s="444">
        <v>4.0193704600484246</v>
      </c>
      <c r="AH82" s="444">
        <v>2.0096852300242101</v>
      </c>
      <c r="AI82" s="444">
        <v>7.0338983050847128</v>
      </c>
      <c r="AJ82" s="444">
        <v>5.0242130750605147</v>
      </c>
      <c r="AK82" s="444">
        <v>0</v>
      </c>
      <c r="AL82" s="444">
        <v>0</v>
      </c>
      <c r="AM82" s="444">
        <v>0</v>
      </c>
      <c r="AN82" s="444">
        <v>0</v>
      </c>
      <c r="AO82" s="444">
        <v>0</v>
      </c>
      <c r="AP82" s="444">
        <v>0</v>
      </c>
      <c r="AQ82" s="444">
        <v>0</v>
      </c>
      <c r="AR82" s="444">
        <v>28.999999999999979</v>
      </c>
      <c r="AS82" s="444">
        <v>0</v>
      </c>
      <c r="AT82" s="444">
        <v>127.85049103547726</v>
      </c>
      <c r="AU82" s="444">
        <v>0</v>
      </c>
      <c r="AV82" s="444">
        <v>0</v>
      </c>
      <c r="AW82" s="444">
        <v>0</v>
      </c>
      <c r="AX82" s="444">
        <v>0</v>
      </c>
      <c r="AY82" s="444">
        <v>0</v>
      </c>
      <c r="AZ82" s="444">
        <v>0</v>
      </c>
      <c r="BA82" s="444">
        <v>0</v>
      </c>
      <c r="BB82" s="444">
        <v>0</v>
      </c>
      <c r="BC82" s="444">
        <v>0.92600000000000005</v>
      </c>
      <c r="BD82" s="444">
        <v>0</v>
      </c>
      <c r="BE82" s="444">
        <v>0</v>
      </c>
      <c r="BF82" s="444">
        <v>0</v>
      </c>
      <c r="BG82" s="444">
        <v>0</v>
      </c>
      <c r="BH82" s="458">
        <v>1</v>
      </c>
      <c r="BI82" s="444">
        <v>0</v>
      </c>
      <c r="BJ82" s="444">
        <v>1</v>
      </c>
      <c r="BK82" s="444">
        <v>0</v>
      </c>
    </row>
    <row r="83" spans="1:63" ht="14.5" x14ac:dyDescent="0.35">
      <c r="A83" s="454">
        <v>143734</v>
      </c>
      <c r="B83" s="454">
        <v>8314004</v>
      </c>
      <c r="C83" s="455" t="s">
        <v>137</v>
      </c>
      <c r="D83" s="431" t="s">
        <v>197</v>
      </c>
      <c r="E83" s="456" t="s">
        <v>767</v>
      </c>
      <c r="F83" s="457">
        <v>1</v>
      </c>
      <c r="G83" s="444">
        <v>0</v>
      </c>
      <c r="H83" s="444">
        <v>0</v>
      </c>
      <c r="I83" s="444">
        <v>0</v>
      </c>
      <c r="J83" s="444">
        <v>5</v>
      </c>
      <c r="K83" s="444">
        <v>3</v>
      </c>
      <c r="L83" s="444">
        <v>2</v>
      </c>
      <c r="M83" s="444">
        <v>904</v>
      </c>
      <c r="N83" s="444">
        <v>0</v>
      </c>
      <c r="O83" s="444">
        <v>0</v>
      </c>
      <c r="P83" s="444">
        <v>0</v>
      </c>
      <c r="Q83" s="444">
        <v>904</v>
      </c>
      <c r="R83" s="444">
        <v>544</v>
      </c>
      <c r="S83" s="444">
        <v>360</v>
      </c>
      <c r="T83" s="444">
        <v>182</v>
      </c>
      <c r="U83" s="444">
        <v>181</v>
      </c>
      <c r="V83" s="444">
        <v>181</v>
      </c>
      <c r="W83" s="444">
        <v>183</v>
      </c>
      <c r="X83" s="444">
        <v>177</v>
      </c>
      <c r="Y83" s="444">
        <v>180.8</v>
      </c>
      <c r="Z83" s="444">
        <v>0</v>
      </c>
      <c r="AA83" s="444">
        <v>0</v>
      </c>
      <c r="AB83" s="444">
        <v>506.99999999999926</v>
      </c>
      <c r="AC83" s="444">
        <v>528</v>
      </c>
      <c r="AD83" s="444">
        <v>0</v>
      </c>
      <c r="AE83" s="444">
        <v>0</v>
      </c>
      <c r="AF83" s="444">
        <v>0</v>
      </c>
      <c r="AG83" s="444">
        <v>0</v>
      </c>
      <c r="AH83" s="444">
        <v>0</v>
      </c>
      <c r="AI83" s="444">
        <v>0</v>
      </c>
      <c r="AJ83" s="444">
        <v>0</v>
      </c>
      <c r="AK83" s="444">
        <v>101.22394678492209</v>
      </c>
      <c r="AL83" s="444">
        <v>112.24833702882407</v>
      </c>
      <c r="AM83" s="444">
        <v>230.50997782705022</v>
      </c>
      <c r="AN83" s="444">
        <v>108.2394678492236</v>
      </c>
      <c r="AO83" s="444">
        <v>137.30376940132996</v>
      </c>
      <c r="AP83" s="444">
        <v>119.26385809312556</v>
      </c>
      <c r="AQ83" s="444">
        <v>95.210643015520915</v>
      </c>
      <c r="AR83" s="444">
        <v>0</v>
      </c>
      <c r="AS83" s="444">
        <v>81.999999999999986</v>
      </c>
      <c r="AT83" s="444">
        <v>0</v>
      </c>
      <c r="AU83" s="444">
        <v>102.95999999999987</v>
      </c>
      <c r="AV83" s="444">
        <v>88.419540229884916</v>
      </c>
      <c r="AW83" s="444">
        <v>95.687898089171867</v>
      </c>
      <c r="AX83" s="444">
        <v>104.57142857142848</v>
      </c>
      <c r="AY83" s="444">
        <v>101.14285714285705</v>
      </c>
      <c r="AZ83" s="444">
        <v>278.56482290068641</v>
      </c>
      <c r="BA83" s="444">
        <v>0</v>
      </c>
      <c r="BB83" s="444">
        <v>0</v>
      </c>
      <c r="BC83" s="444">
        <v>0</v>
      </c>
      <c r="BD83" s="444">
        <v>1.49</v>
      </c>
      <c r="BE83" s="444">
        <v>0</v>
      </c>
      <c r="BF83" s="444">
        <v>0</v>
      </c>
      <c r="BG83" s="444">
        <v>0</v>
      </c>
      <c r="BH83" s="458">
        <v>0</v>
      </c>
      <c r="BI83" s="444">
        <v>1</v>
      </c>
      <c r="BJ83" s="444">
        <v>0</v>
      </c>
      <c r="BK83" s="444">
        <v>1</v>
      </c>
    </row>
    <row r="84" spans="1:63" ht="14.5" x14ac:dyDescent="0.35">
      <c r="A84" s="454">
        <v>143853</v>
      </c>
      <c r="B84" s="454">
        <v>8314005</v>
      </c>
      <c r="C84" s="455" t="s">
        <v>138</v>
      </c>
      <c r="D84" s="431" t="s">
        <v>197</v>
      </c>
      <c r="E84" s="456" t="s">
        <v>767</v>
      </c>
      <c r="F84" s="457">
        <v>1</v>
      </c>
      <c r="G84" s="444">
        <v>0</v>
      </c>
      <c r="H84" s="444">
        <v>0</v>
      </c>
      <c r="I84" s="444">
        <v>0</v>
      </c>
      <c r="J84" s="444">
        <v>5</v>
      </c>
      <c r="K84" s="444">
        <v>3</v>
      </c>
      <c r="L84" s="444">
        <v>2</v>
      </c>
      <c r="M84" s="444">
        <v>1242</v>
      </c>
      <c r="N84" s="444">
        <v>0</v>
      </c>
      <c r="O84" s="444">
        <v>0</v>
      </c>
      <c r="P84" s="444">
        <v>0</v>
      </c>
      <c r="Q84" s="444">
        <v>1242</v>
      </c>
      <c r="R84" s="444">
        <v>784</v>
      </c>
      <c r="S84" s="444">
        <v>458</v>
      </c>
      <c r="T84" s="444">
        <v>276</v>
      </c>
      <c r="U84" s="444">
        <v>267</v>
      </c>
      <c r="V84" s="444">
        <v>241</v>
      </c>
      <c r="W84" s="444">
        <v>226</v>
      </c>
      <c r="X84" s="444">
        <v>232</v>
      </c>
      <c r="Y84" s="444">
        <v>248.4</v>
      </c>
      <c r="Z84" s="444">
        <v>0</v>
      </c>
      <c r="AA84" s="444">
        <v>0</v>
      </c>
      <c r="AB84" s="444">
        <v>557.99999999999932</v>
      </c>
      <c r="AC84" s="444">
        <v>606.9999999999992</v>
      </c>
      <c r="AD84" s="444">
        <v>0</v>
      </c>
      <c r="AE84" s="444">
        <v>0</v>
      </c>
      <c r="AF84" s="444">
        <v>0</v>
      </c>
      <c r="AG84" s="444">
        <v>0</v>
      </c>
      <c r="AH84" s="444">
        <v>0</v>
      </c>
      <c r="AI84" s="444">
        <v>0</v>
      </c>
      <c r="AJ84" s="444">
        <v>0</v>
      </c>
      <c r="AK84" s="444">
        <v>412.9999999999996</v>
      </c>
      <c r="AL84" s="444">
        <v>156.99999999999932</v>
      </c>
      <c r="AM84" s="444">
        <v>189.99999999999963</v>
      </c>
      <c r="AN84" s="444">
        <v>5.9999999999999929</v>
      </c>
      <c r="AO84" s="444">
        <v>125.99999999999896</v>
      </c>
      <c r="AP84" s="444">
        <v>211.99999999999903</v>
      </c>
      <c r="AQ84" s="444">
        <v>137.99999999999986</v>
      </c>
      <c r="AR84" s="444">
        <v>0</v>
      </c>
      <c r="AS84" s="444">
        <v>17.013698630136986</v>
      </c>
      <c r="AT84" s="444">
        <v>0</v>
      </c>
      <c r="AU84" s="444">
        <v>124.90510948905097</v>
      </c>
      <c r="AV84" s="444">
        <v>119.7946768060835</v>
      </c>
      <c r="AW84" s="444">
        <v>107.92608695652156</v>
      </c>
      <c r="AX84" s="444">
        <v>100.21719457013567</v>
      </c>
      <c r="AY84" s="444">
        <v>102.87782805429858</v>
      </c>
      <c r="AZ84" s="444">
        <v>315.31137044022148</v>
      </c>
      <c r="BA84" s="444">
        <v>0</v>
      </c>
      <c r="BB84" s="444">
        <v>0</v>
      </c>
      <c r="BC84" s="444">
        <v>0</v>
      </c>
      <c r="BD84" s="444">
        <v>1.165</v>
      </c>
      <c r="BE84" s="444">
        <v>0</v>
      </c>
      <c r="BF84" s="444">
        <v>0</v>
      </c>
      <c r="BG84" s="444">
        <v>0</v>
      </c>
      <c r="BH84" s="458">
        <v>0</v>
      </c>
      <c r="BI84" s="444">
        <v>1</v>
      </c>
      <c r="BJ84" s="444">
        <v>0</v>
      </c>
      <c r="BK84" s="444">
        <v>1</v>
      </c>
    </row>
    <row r="85" spans="1:63" ht="14.5" x14ac:dyDescent="0.35">
      <c r="A85" s="454">
        <v>143934</v>
      </c>
      <c r="B85" s="454">
        <v>8314006</v>
      </c>
      <c r="C85" s="455" t="s">
        <v>139</v>
      </c>
      <c r="D85" s="431" t="s">
        <v>197</v>
      </c>
      <c r="E85" s="456" t="s">
        <v>767</v>
      </c>
      <c r="F85" s="457">
        <v>1</v>
      </c>
      <c r="G85" s="444">
        <v>0</v>
      </c>
      <c r="H85" s="444">
        <v>0</v>
      </c>
      <c r="I85" s="444">
        <v>0</v>
      </c>
      <c r="J85" s="444">
        <v>5</v>
      </c>
      <c r="K85" s="444">
        <v>3</v>
      </c>
      <c r="L85" s="444">
        <v>2</v>
      </c>
      <c r="M85" s="444">
        <v>971</v>
      </c>
      <c r="N85" s="444">
        <v>0</v>
      </c>
      <c r="O85" s="444">
        <v>0</v>
      </c>
      <c r="P85" s="444">
        <v>0</v>
      </c>
      <c r="Q85" s="444">
        <v>971</v>
      </c>
      <c r="R85" s="444">
        <v>605</v>
      </c>
      <c r="S85" s="444">
        <v>366</v>
      </c>
      <c r="T85" s="444">
        <v>188</v>
      </c>
      <c r="U85" s="444">
        <v>211</v>
      </c>
      <c r="V85" s="444">
        <v>206</v>
      </c>
      <c r="W85" s="444">
        <v>192</v>
      </c>
      <c r="X85" s="444">
        <v>174</v>
      </c>
      <c r="Y85" s="444">
        <v>194.2</v>
      </c>
      <c r="Z85" s="444">
        <v>0</v>
      </c>
      <c r="AA85" s="444">
        <v>0</v>
      </c>
      <c r="AB85" s="444">
        <v>379.99999999999983</v>
      </c>
      <c r="AC85" s="444">
        <v>406.99999999999989</v>
      </c>
      <c r="AD85" s="444">
        <v>0</v>
      </c>
      <c r="AE85" s="444">
        <v>0</v>
      </c>
      <c r="AF85" s="444">
        <v>0</v>
      </c>
      <c r="AG85" s="444">
        <v>0</v>
      </c>
      <c r="AH85" s="444">
        <v>0</v>
      </c>
      <c r="AI85" s="444">
        <v>0</v>
      </c>
      <c r="AJ85" s="444">
        <v>0</v>
      </c>
      <c r="AK85" s="444">
        <v>533.54948453608233</v>
      </c>
      <c r="AL85" s="444">
        <v>127.13092783505118</v>
      </c>
      <c r="AM85" s="444">
        <v>115.11855670103012</v>
      </c>
      <c r="AN85" s="444">
        <v>67.069072164948437</v>
      </c>
      <c r="AO85" s="444">
        <v>18.018556701030896</v>
      </c>
      <c r="AP85" s="444">
        <v>39.040206185567001</v>
      </c>
      <c r="AQ85" s="444">
        <v>71.073195876288665</v>
      </c>
      <c r="AR85" s="444">
        <v>0</v>
      </c>
      <c r="AS85" s="444">
        <v>26.026804123711337</v>
      </c>
      <c r="AT85" s="444">
        <v>0</v>
      </c>
      <c r="AU85" s="444">
        <v>72.774193548387018</v>
      </c>
      <c r="AV85" s="444">
        <v>87.832535885167459</v>
      </c>
      <c r="AW85" s="444">
        <v>91.438775510204053</v>
      </c>
      <c r="AX85" s="444">
        <v>83.612903225806264</v>
      </c>
      <c r="AY85" s="444">
        <v>75.774193548386933</v>
      </c>
      <c r="AZ85" s="444">
        <v>232.40940694036379</v>
      </c>
      <c r="BA85" s="444">
        <v>0</v>
      </c>
      <c r="BB85" s="444">
        <v>0</v>
      </c>
      <c r="BC85" s="444">
        <v>0</v>
      </c>
      <c r="BD85" s="444">
        <v>1.601</v>
      </c>
      <c r="BE85" s="444">
        <v>0</v>
      </c>
      <c r="BF85" s="444">
        <v>0</v>
      </c>
      <c r="BG85" s="444">
        <v>0</v>
      </c>
      <c r="BH85" s="458">
        <v>0</v>
      </c>
      <c r="BI85" s="444">
        <v>1</v>
      </c>
      <c r="BJ85" s="444">
        <v>0</v>
      </c>
      <c r="BK85" s="444">
        <v>1</v>
      </c>
    </row>
    <row r="86" spans="1:63" ht="14.5" x14ac:dyDescent="0.35">
      <c r="A86" s="454">
        <v>144066</v>
      </c>
      <c r="B86" s="454">
        <v>8314007</v>
      </c>
      <c r="C86" s="455" t="s">
        <v>140</v>
      </c>
      <c r="D86" s="431" t="s">
        <v>197</v>
      </c>
      <c r="E86" s="456" t="s">
        <v>767</v>
      </c>
      <c r="F86" s="457">
        <v>1</v>
      </c>
      <c r="G86" s="444">
        <v>0</v>
      </c>
      <c r="H86" s="444">
        <v>0</v>
      </c>
      <c r="I86" s="444">
        <v>0</v>
      </c>
      <c r="J86" s="444">
        <v>5</v>
      </c>
      <c r="K86" s="444">
        <v>3</v>
      </c>
      <c r="L86" s="444">
        <v>2</v>
      </c>
      <c r="M86" s="444">
        <v>671</v>
      </c>
      <c r="N86" s="444">
        <v>0</v>
      </c>
      <c r="O86" s="444">
        <v>0</v>
      </c>
      <c r="P86" s="444">
        <v>0</v>
      </c>
      <c r="Q86" s="444">
        <v>671</v>
      </c>
      <c r="R86" s="444">
        <v>423</v>
      </c>
      <c r="S86" s="444">
        <v>248</v>
      </c>
      <c r="T86" s="444">
        <v>139</v>
      </c>
      <c r="U86" s="444">
        <v>137</v>
      </c>
      <c r="V86" s="444">
        <v>147</v>
      </c>
      <c r="W86" s="444">
        <v>109</v>
      </c>
      <c r="X86" s="444">
        <v>139</v>
      </c>
      <c r="Y86" s="444">
        <v>134.19999999999999</v>
      </c>
      <c r="Z86" s="444">
        <v>0</v>
      </c>
      <c r="AA86" s="444">
        <v>0</v>
      </c>
      <c r="AB86" s="444">
        <v>406.99999999999977</v>
      </c>
      <c r="AC86" s="444">
        <v>414.99999999999949</v>
      </c>
      <c r="AD86" s="444">
        <v>0</v>
      </c>
      <c r="AE86" s="444">
        <v>0</v>
      </c>
      <c r="AF86" s="444">
        <v>0</v>
      </c>
      <c r="AG86" s="444">
        <v>0</v>
      </c>
      <c r="AH86" s="444">
        <v>0</v>
      </c>
      <c r="AI86" s="444">
        <v>0</v>
      </c>
      <c r="AJ86" s="444">
        <v>0</v>
      </c>
      <c r="AK86" s="444">
        <v>101.99999999999947</v>
      </c>
      <c r="AL86" s="444">
        <v>144.99999999999983</v>
      </c>
      <c r="AM86" s="444">
        <v>92.999999999999631</v>
      </c>
      <c r="AN86" s="444">
        <v>52.999999999999929</v>
      </c>
      <c r="AO86" s="444">
        <v>12.999999999999986</v>
      </c>
      <c r="AP86" s="444">
        <v>72.999999999999645</v>
      </c>
      <c r="AQ86" s="444">
        <v>191.99999999999937</v>
      </c>
      <c r="AR86" s="444">
        <v>0</v>
      </c>
      <c r="AS86" s="444">
        <v>18.999999999999979</v>
      </c>
      <c r="AT86" s="444">
        <v>0</v>
      </c>
      <c r="AU86" s="444">
        <v>86.623188405797038</v>
      </c>
      <c r="AV86" s="444">
        <v>94.059701492537243</v>
      </c>
      <c r="AW86" s="444">
        <v>82.021739130434696</v>
      </c>
      <c r="AX86" s="444">
        <v>54.5</v>
      </c>
      <c r="AY86" s="444">
        <v>69.5</v>
      </c>
      <c r="AZ86" s="444">
        <v>219.83257789777406</v>
      </c>
      <c r="BA86" s="444">
        <v>0</v>
      </c>
      <c r="BB86" s="444">
        <v>0</v>
      </c>
      <c r="BC86" s="444">
        <v>0</v>
      </c>
      <c r="BD86" s="444">
        <v>1.488</v>
      </c>
      <c r="BE86" s="444">
        <v>0</v>
      </c>
      <c r="BF86" s="444">
        <v>0</v>
      </c>
      <c r="BG86" s="444">
        <v>0</v>
      </c>
      <c r="BH86" s="458">
        <v>0</v>
      </c>
      <c r="BI86" s="444">
        <v>1</v>
      </c>
      <c r="BJ86" s="444">
        <v>0</v>
      </c>
      <c r="BK86" s="444">
        <v>1</v>
      </c>
    </row>
    <row r="87" spans="1:63" ht="14.5" x14ac:dyDescent="0.35">
      <c r="A87" s="454">
        <v>145132</v>
      </c>
      <c r="B87" s="454">
        <v>8314008</v>
      </c>
      <c r="C87" s="455" t="s">
        <v>141</v>
      </c>
      <c r="D87" s="431" t="s">
        <v>197</v>
      </c>
      <c r="E87" s="456" t="s">
        <v>767</v>
      </c>
      <c r="F87" s="457">
        <v>1</v>
      </c>
      <c r="G87" s="444">
        <v>0</v>
      </c>
      <c r="H87" s="444">
        <v>0</v>
      </c>
      <c r="I87" s="444">
        <v>0</v>
      </c>
      <c r="J87" s="444">
        <v>5</v>
      </c>
      <c r="K87" s="444">
        <v>3</v>
      </c>
      <c r="L87" s="444">
        <v>2</v>
      </c>
      <c r="M87" s="444">
        <v>910</v>
      </c>
      <c r="N87" s="444">
        <v>0</v>
      </c>
      <c r="O87" s="444">
        <v>0</v>
      </c>
      <c r="P87" s="444">
        <v>0</v>
      </c>
      <c r="Q87" s="444">
        <v>910</v>
      </c>
      <c r="R87" s="444">
        <v>537</v>
      </c>
      <c r="S87" s="444">
        <v>373</v>
      </c>
      <c r="T87" s="444">
        <v>184</v>
      </c>
      <c r="U87" s="444">
        <v>162</v>
      </c>
      <c r="V87" s="444">
        <v>191</v>
      </c>
      <c r="W87" s="444">
        <v>185</v>
      </c>
      <c r="X87" s="444">
        <v>188</v>
      </c>
      <c r="Y87" s="444">
        <v>182</v>
      </c>
      <c r="Z87" s="444">
        <v>0</v>
      </c>
      <c r="AA87" s="444">
        <v>0</v>
      </c>
      <c r="AB87" s="444">
        <v>526.99999999999989</v>
      </c>
      <c r="AC87" s="444">
        <v>546.99999999999989</v>
      </c>
      <c r="AD87" s="444">
        <v>0</v>
      </c>
      <c r="AE87" s="444">
        <v>0</v>
      </c>
      <c r="AF87" s="444">
        <v>0</v>
      </c>
      <c r="AG87" s="444">
        <v>0</v>
      </c>
      <c r="AH87" s="444">
        <v>0</v>
      </c>
      <c r="AI87" s="444">
        <v>0</v>
      </c>
      <c r="AJ87" s="444">
        <v>0</v>
      </c>
      <c r="AK87" s="444">
        <v>253.27832783278296</v>
      </c>
      <c r="AL87" s="444">
        <v>42.046204620462042</v>
      </c>
      <c r="AM87" s="444">
        <v>116.12761276127557</v>
      </c>
      <c r="AN87" s="444">
        <v>123.13531353135286</v>
      </c>
      <c r="AO87" s="444">
        <v>179.19691969196836</v>
      </c>
      <c r="AP87" s="444">
        <v>177.19471947194654</v>
      </c>
      <c r="AQ87" s="444">
        <v>19.02090209020902</v>
      </c>
      <c r="AR87" s="444">
        <v>0</v>
      </c>
      <c r="AS87" s="444">
        <v>84.674887892376688</v>
      </c>
      <c r="AT87" s="444">
        <v>0</v>
      </c>
      <c r="AU87" s="444">
        <v>103.04</v>
      </c>
      <c r="AV87" s="444">
        <v>94.855263157894626</v>
      </c>
      <c r="AW87" s="444">
        <v>114.6</v>
      </c>
      <c r="AX87" s="444">
        <v>107.34567901234551</v>
      </c>
      <c r="AY87" s="444">
        <v>109.08641975308626</v>
      </c>
      <c r="AZ87" s="444">
        <v>298.7118822977713</v>
      </c>
      <c r="BA87" s="444">
        <v>0</v>
      </c>
      <c r="BB87" s="444">
        <v>19.481408140814079</v>
      </c>
      <c r="BC87" s="444">
        <v>0</v>
      </c>
      <c r="BD87" s="444">
        <v>2.2490000000000001</v>
      </c>
      <c r="BE87" s="444">
        <v>0</v>
      </c>
      <c r="BF87" s="444">
        <v>0</v>
      </c>
      <c r="BG87" s="444">
        <v>0</v>
      </c>
      <c r="BH87" s="458">
        <v>0</v>
      </c>
      <c r="BI87" s="444">
        <v>1</v>
      </c>
      <c r="BJ87" s="444">
        <v>0</v>
      </c>
      <c r="BK87" s="444">
        <v>1</v>
      </c>
    </row>
    <row r="88" spans="1:63" ht="14.5" x14ac:dyDescent="0.35">
      <c r="A88" s="454">
        <v>147685</v>
      </c>
      <c r="B88" s="454">
        <v>8314010</v>
      </c>
      <c r="C88" s="455" t="s">
        <v>142</v>
      </c>
      <c r="D88" s="431" t="s">
        <v>197</v>
      </c>
      <c r="E88" s="456" t="s">
        <v>767</v>
      </c>
      <c r="F88" s="457">
        <v>1</v>
      </c>
      <c r="G88" s="444">
        <v>0</v>
      </c>
      <c r="H88" s="444">
        <v>0</v>
      </c>
      <c r="I88" s="444">
        <v>0</v>
      </c>
      <c r="J88" s="444">
        <v>3</v>
      </c>
      <c r="K88" s="444">
        <v>1</v>
      </c>
      <c r="L88" s="444">
        <v>2</v>
      </c>
      <c r="M88" s="444">
        <v>348</v>
      </c>
      <c r="N88" s="444">
        <v>0</v>
      </c>
      <c r="O88" s="444">
        <v>0</v>
      </c>
      <c r="P88" s="444">
        <v>0</v>
      </c>
      <c r="Q88" s="444">
        <v>348</v>
      </c>
      <c r="R88" s="444">
        <v>115</v>
      </c>
      <c r="S88" s="444">
        <v>233</v>
      </c>
      <c r="T88" s="444">
        <v>0</v>
      </c>
      <c r="U88" s="444">
        <v>0</v>
      </c>
      <c r="V88" s="444">
        <v>115</v>
      </c>
      <c r="W88" s="444">
        <v>117</v>
      </c>
      <c r="X88" s="444">
        <v>116</v>
      </c>
      <c r="Y88" s="444">
        <v>116</v>
      </c>
      <c r="Z88" s="444">
        <v>0</v>
      </c>
      <c r="AA88" s="444">
        <v>0</v>
      </c>
      <c r="AB88" s="444">
        <v>111.99999999999996</v>
      </c>
      <c r="AC88" s="444">
        <v>146.99999999999991</v>
      </c>
      <c r="AD88" s="444">
        <v>0</v>
      </c>
      <c r="AE88" s="444">
        <v>0</v>
      </c>
      <c r="AF88" s="444">
        <v>0</v>
      </c>
      <c r="AG88" s="444">
        <v>0</v>
      </c>
      <c r="AH88" s="444">
        <v>0</v>
      </c>
      <c r="AI88" s="444">
        <v>0</v>
      </c>
      <c r="AJ88" s="444">
        <v>0</v>
      </c>
      <c r="AK88" s="444">
        <v>134.99999999999977</v>
      </c>
      <c r="AL88" s="444">
        <v>36.99999999999973</v>
      </c>
      <c r="AM88" s="444">
        <v>48.999999999999851</v>
      </c>
      <c r="AN88" s="444">
        <v>18.999999999999968</v>
      </c>
      <c r="AO88" s="444">
        <v>40.999999999999652</v>
      </c>
      <c r="AP88" s="444">
        <v>35.999999999999666</v>
      </c>
      <c r="AQ88" s="444">
        <v>30.999999999999986</v>
      </c>
      <c r="AR88" s="444">
        <v>0</v>
      </c>
      <c r="AS88" s="444">
        <v>2.0232558139534875</v>
      </c>
      <c r="AT88" s="444">
        <v>0</v>
      </c>
      <c r="AU88" s="444">
        <v>0</v>
      </c>
      <c r="AV88" s="444">
        <v>0</v>
      </c>
      <c r="AW88" s="444">
        <v>31.761904761904738</v>
      </c>
      <c r="AX88" s="444">
        <v>43.105263157894626</v>
      </c>
      <c r="AY88" s="444">
        <v>42.736842105263044</v>
      </c>
      <c r="AZ88" s="444">
        <v>64.470122505263021</v>
      </c>
      <c r="BA88" s="444">
        <v>0</v>
      </c>
      <c r="BB88" s="444">
        <v>0</v>
      </c>
      <c r="BC88" s="444">
        <v>0</v>
      </c>
      <c r="BD88" s="444">
        <v>1.6819999999999999</v>
      </c>
      <c r="BE88" s="444">
        <v>6.6666666666666652E-2</v>
      </c>
      <c r="BF88" s="444">
        <v>0</v>
      </c>
      <c r="BG88" s="444">
        <v>0</v>
      </c>
      <c r="BH88" s="458">
        <v>0</v>
      </c>
      <c r="BI88" s="444">
        <v>1</v>
      </c>
      <c r="BJ88" s="444">
        <v>0</v>
      </c>
      <c r="BK88" s="444">
        <v>1</v>
      </c>
    </row>
    <row r="89" spans="1:63" ht="14.5" x14ac:dyDescent="0.35">
      <c r="A89" s="454">
        <v>148538</v>
      </c>
      <c r="B89" s="454">
        <v>8314011</v>
      </c>
      <c r="C89" s="455" t="s">
        <v>143</v>
      </c>
      <c r="D89" s="431" t="s">
        <v>197</v>
      </c>
      <c r="E89" s="456" t="s">
        <v>767</v>
      </c>
      <c r="F89" s="457">
        <v>1</v>
      </c>
      <c r="G89" s="444">
        <v>0</v>
      </c>
      <c r="H89" s="444">
        <v>0</v>
      </c>
      <c r="I89" s="444">
        <v>0</v>
      </c>
      <c r="J89" s="444">
        <v>5</v>
      </c>
      <c r="K89" s="444">
        <v>3</v>
      </c>
      <c r="L89" s="444">
        <v>2</v>
      </c>
      <c r="M89" s="444">
        <v>833</v>
      </c>
      <c r="N89" s="444">
        <v>0</v>
      </c>
      <c r="O89" s="444">
        <v>0</v>
      </c>
      <c r="P89" s="444">
        <v>0</v>
      </c>
      <c r="Q89" s="444">
        <v>833</v>
      </c>
      <c r="R89" s="444">
        <v>494</v>
      </c>
      <c r="S89" s="444">
        <v>339</v>
      </c>
      <c r="T89" s="444">
        <v>162</v>
      </c>
      <c r="U89" s="444">
        <v>167</v>
      </c>
      <c r="V89" s="444">
        <v>165</v>
      </c>
      <c r="W89" s="444">
        <v>171</v>
      </c>
      <c r="X89" s="444">
        <v>168</v>
      </c>
      <c r="Y89" s="444">
        <v>166.6</v>
      </c>
      <c r="Z89" s="444">
        <v>0</v>
      </c>
      <c r="AA89" s="444">
        <v>0</v>
      </c>
      <c r="AB89" s="444">
        <v>556.99999999999943</v>
      </c>
      <c r="AC89" s="444">
        <v>603.99999999999943</v>
      </c>
      <c r="AD89" s="444">
        <v>0</v>
      </c>
      <c r="AE89" s="444">
        <v>0</v>
      </c>
      <c r="AF89" s="444">
        <v>0</v>
      </c>
      <c r="AG89" s="444">
        <v>0</v>
      </c>
      <c r="AH89" s="444">
        <v>0</v>
      </c>
      <c r="AI89" s="444">
        <v>0</v>
      </c>
      <c r="AJ89" s="444">
        <v>0</v>
      </c>
      <c r="AK89" s="444">
        <v>85.204572803850695</v>
      </c>
      <c r="AL89" s="444">
        <v>46.110709987966281</v>
      </c>
      <c r="AM89" s="444">
        <v>81.194945848375426</v>
      </c>
      <c r="AN89" s="444">
        <v>48.115523465703923</v>
      </c>
      <c r="AO89" s="444">
        <v>157.37785800240638</v>
      </c>
      <c r="AP89" s="444">
        <v>245.58965102286351</v>
      </c>
      <c r="AQ89" s="444">
        <v>169.40673886883206</v>
      </c>
      <c r="AR89" s="444">
        <v>0</v>
      </c>
      <c r="AS89" s="444">
        <v>101.1213942307686</v>
      </c>
      <c r="AT89" s="444">
        <v>0</v>
      </c>
      <c r="AU89" s="444">
        <v>101.64705882352926</v>
      </c>
      <c r="AV89" s="444">
        <v>102.68243243243229</v>
      </c>
      <c r="AW89" s="444">
        <v>102.82608695652166</v>
      </c>
      <c r="AX89" s="444">
        <v>114.79720279720274</v>
      </c>
      <c r="AY89" s="444">
        <v>112.78321678321673</v>
      </c>
      <c r="AZ89" s="444">
        <v>301.89529166913837</v>
      </c>
      <c r="BA89" s="444">
        <v>0</v>
      </c>
      <c r="BB89" s="444">
        <v>48.374216867469464</v>
      </c>
      <c r="BC89" s="444">
        <v>0</v>
      </c>
      <c r="BD89" s="444">
        <v>1.448</v>
      </c>
      <c r="BE89" s="444">
        <v>0</v>
      </c>
      <c r="BF89" s="444">
        <v>0</v>
      </c>
      <c r="BG89" s="444">
        <v>0</v>
      </c>
      <c r="BH89" s="458">
        <v>0</v>
      </c>
      <c r="BI89" s="444">
        <v>1</v>
      </c>
      <c r="BJ89" s="444">
        <v>0</v>
      </c>
      <c r="BK89" s="444">
        <v>1</v>
      </c>
    </row>
    <row r="90" spans="1:63" ht="14.5" x14ac:dyDescent="0.35">
      <c r="A90" s="454">
        <v>148639</v>
      </c>
      <c r="B90" s="454">
        <v>8314012</v>
      </c>
      <c r="C90" s="455" t="s">
        <v>144</v>
      </c>
      <c r="D90" s="431" t="s">
        <v>197</v>
      </c>
      <c r="E90" s="456" t="s">
        <v>767</v>
      </c>
      <c r="F90" s="457">
        <v>1</v>
      </c>
      <c r="G90" s="444">
        <v>0</v>
      </c>
      <c r="H90" s="444">
        <v>0</v>
      </c>
      <c r="I90" s="444">
        <v>0</v>
      </c>
      <c r="J90" s="444">
        <v>5</v>
      </c>
      <c r="K90" s="444">
        <v>3</v>
      </c>
      <c r="L90" s="444">
        <v>2</v>
      </c>
      <c r="M90" s="444">
        <v>1490</v>
      </c>
      <c r="N90" s="444">
        <v>0</v>
      </c>
      <c r="O90" s="444">
        <v>0</v>
      </c>
      <c r="P90" s="444">
        <v>0</v>
      </c>
      <c r="Q90" s="444">
        <v>1490</v>
      </c>
      <c r="R90" s="444">
        <v>901</v>
      </c>
      <c r="S90" s="444">
        <v>589</v>
      </c>
      <c r="T90" s="444">
        <v>299</v>
      </c>
      <c r="U90" s="444">
        <v>304</v>
      </c>
      <c r="V90" s="444">
        <v>298</v>
      </c>
      <c r="W90" s="444">
        <v>297</v>
      </c>
      <c r="X90" s="444">
        <v>292</v>
      </c>
      <c r="Y90" s="444">
        <v>298</v>
      </c>
      <c r="Z90" s="444">
        <v>0</v>
      </c>
      <c r="AA90" s="444">
        <v>0</v>
      </c>
      <c r="AB90" s="444">
        <v>311.99999999999937</v>
      </c>
      <c r="AC90" s="444">
        <v>318.99999999999903</v>
      </c>
      <c r="AD90" s="444">
        <v>0</v>
      </c>
      <c r="AE90" s="444">
        <v>0</v>
      </c>
      <c r="AF90" s="444">
        <v>0</v>
      </c>
      <c r="AG90" s="444">
        <v>0</v>
      </c>
      <c r="AH90" s="444">
        <v>0</v>
      </c>
      <c r="AI90" s="444">
        <v>0</v>
      </c>
      <c r="AJ90" s="444">
        <v>0</v>
      </c>
      <c r="AK90" s="444">
        <v>1281</v>
      </c>
      <c r="AL90" s="444">
        <v>149</v>
      </c>
      <c r="AM90" s="444">
        <v>4.9999999999999893</v>
      </c>
      <c r="AN90" s="444">
        <v>0</v>
      </c>
      <c r="AO90" s="444">
        <v>12.999999999999998</v>
      </c>
      <c r="AP90" s="444">
        <v>32.999999999999986</v>
      </c>
      <c r="AQ90" s="444">
        <v>8.9999999999999876</v>
      </c>
      <c r="AR90" s="444">
        <v>0</v>
      </c>
      <c r="AS90" s="444">
        <v>23.077441077440945</v>
      </c>
      <c r="AT90" s="444">
        <v>0</v>
      </c>
      <c r="AU90" s="444">
        <v>105.3523489932884</v>
      </c>
      <c r="AV90" s="444">
        <v>109.99999999999973</v>
      </c>
      <c r="AW90" s="444">
        <v>98.641114982578245</v>
      </c>
      <c r="AX90" s="444">
        <v>99.685121107266284</v>
      </c>
      <c r="AY90" s="444">
        <v>98.006920415224755</v>
      </c>
      <c r="AZ90" s="444">
        <v>289.74030943422355</v>
      </c>
      <c r="BA90" s="444">
        <v>0</v>
      </c>
      <c r="BB90" s="444">
        <v>0</v>
      </c>
      <c r="BC90" s="444">
        <v>0</v>
      </c>
      <c r="BD90" s="444">
        <v>2.802</v>
      </c>
      <c r="BE90" s="444">
        <v>0</v>
      </c>
      <c r="BF90" s="444">
        <v>0.66999999999999993</v>
      </c>
      <c r="BG90" s="444">
        <v>0</v>
      </c>
      <c r="BH90" s="458">
        <v>0</v>
      </c>
      <c r="BI90" s="444">
        <v>1</v>
      </c>
      <c r="BJ90" s="444">
        <v>0</v>
      </c>
      <c r="BK90" s="444">
        <v>1</v>
      </c>
    </row>
    <row r="91" spans="1:63" ht="14.5" x14ac:dyDescent="0.35">
      <c r="A91" s="454">
        <v>145327</v>
      </c>
      <c r="B91" s="454">
        <v>8314178</v>
      </c>
      <c r="C91" s="455" t="s">
        <v>145</v>
      </c>
      <c r="D91" s="431" t="s">
        <v>197</v>
      </c>
      <c r="E91" s="456" t="s">
        <v>767</v>
      </c>
      <c r="F91" s="457">
        <v>1</v>
      </c>
      <c r="G91" s="444">
        <v>0</v>
      </c>
      <c r="H91" s="444">
        <v>0</v>
      </c>
      <c r="I91" s="444">
        <v>0</v>
      </c>
      <c r="J91" s="444">
        <v>5</v>
      </c>
      <c r="K91" s="444">
        <v>3</v>
      </c>
      <c r="L91" s="444">
        <v>2</v>
      </c>
      <c r="M91" s="444">
        <v>1450</v>
      </c>
      <c r="N91" s="444">
        <v>0</v>
      </c>
      <c r="O91" s="444">
        <v>0</v>
      </c>
      <c r="P91" s="444">
        <v>0</v>
      </c>
      <c r="Q91" s="444">
        <v>1450</v>
      </c>
      <c r="R91" s="444">
        <v>870</v>
      </c>
      <c r="S91" s="444">
        <v>580</v>
      </c>
      <c r="T91" s="444">
        <v>298</v>
      </c>
      <c r="U91" s="444">
        <v>290</v>
      </c>
      <c r="V91" s="444">
        <v>282</v>
      </c>
      <c r="W91" s="444">
        <v>289</v>
      </c>
      <c r="X91" s="444">
        <v>291</v>
      </c>
      <c r="Y91" s="444">
        <v>290</v>
      </c>
      <c r="Z91" s="444">
        <v>0</v>
      </c>
      <c r="AA91" s="444">
        <v>0</v>
      </c>
      <c r="AB91" s="444">
        <v>609</v>
      </c>
      <c r="AC91" s="444">
        <v>638</v>
      </c>
      <c r="AD91" s="444">
        <v>0</v>
      </c>
      <c r="AE91" s="444">
        <v>0</v>
      </c>
      <c r="AF91" s="444">
        <v>0</v>
      </c>
      <c r="AG91" s="444">
        <v>0</v>
      </c>
      <c r="AH91" s="444">
        <v>0</v>
      </c>
      <c r="AI91" s="444">
        <v>0</v>
      </c>
      <c r="AJ91" s="444">
        <v>0</v>
      </c>
      <c r="AK91" s="444">
        <v>627.86602209944613</v>
      </c>
      <c r="AL91" s="444">
        <v>14.019337016574575</v>
      </c>
      <c r="AM91" s="444">
        <v>238.32872928176667</v>
      </c>
      <c r="AN91" s="444">
        <v>244.33701657458465</v>
      </c>
      <c r="AO91" s="444">
        <v>176.2430939226507</v>
      </c>
      <c r="AP91" s="444">
        <v>142.19613259668503</v>
      </c>
      <c r="AQ91" s="444">
        <v>7.0096685082872803</v>
      </c>
      <c r="AR91" s="444">
        <v>0</v>
      </c>
      <c r="AS91" s="444">
        <v>58.999999999999865</v>
      </c>
      <c r="AT91" s="444">
        <v>0</v>
      </c>
      <c r="AU91" s="444">
        <v>117.57823129251679</v>
      </c>
      <c r="AV91" s="444">
        <v>116.40845070422525</v>
      </c>
      <c r="AW91" s="444">
        <v>129.99256505576199</v>
      </c>
      <c r="AX91" s="444">
        <v>150.49811320754714</v>
      </c>
      <c r="AY91" s="444">
        <v>151.5396226415094</v>
      </c>
      <c r="AZ91" s="444">
        <v>375.13547046089514</v>
      </c>
      <c r="BA91" s="444">
        <v>0</v>
      </c>
      <c r="BB91" s="444">
        <v>0</v>
      </c>
      <c r="BC91" s="444">
        <v>0</v>
      </c>
      <c r="BD91" s="444">
        <v>1.782</v>
      </c>
      <c r="BE91" s="444">
        <v>0</v>
      </c>
      <c r="BF91" s="444">
        <v>0</v>
      </c>
      <c r="BG91" s="444">
        <v>0</v>
      </c>
      <c r="BH91" s="458">
        <v>0</v>
      </c>
      <c r="BI91" s="444">
        <v>1</v>
      </c>
      <c r="BJ91" s="444">
        <v>0</v>
      </c>
      <c r="BK91" s="444">
        <v>1</v>
      </c>
    </row>
    <row r="92" spans="1:63" ht="14.5" x14ac:dyDescent="0.35">
      <c r="A92" s="454">
        <v>138622</v>
      </c>
      <c r="B92" s="454">
        <v>8314607</v>
      </c>
      <c r="C92" s="455" t="s">
        <v>146</v>
      </c>
      <c r="D92" s="431" t="s">
        <v>197</v>
      </c>
      <c r="E92" s="456" t="s">
        <v>767</v>
      </c>
      <c r="F92" s="457">
        <v>1</v>
      </c>
      <c r="G92" s="444">
        <v>0</v>
      </c>
      <c r="H92" s="444">
        <v>0</v>
      </c>
      <c r="I92" s="444">
        <v>0</v>
      </c>
      <c r="J92" s="444">
        <v>5</v>
      </c>
      <c r="K92" s="444">
        <v>3</v>
      </c>
      <c r="L92" s="444">
        <v>2</v>
      </c>
      <c r="M92" s="444">
        <v>1362</v>
      </c>
      <c r="N92" s="444">
        <v>0</v>
      </c>
      <c r="O92" s="444">
        <v>0</v>
      </c>
      <c r="P92" s="444">
        <v>0</v>
      </c>
      <c r="Q92" s="444">
        <v>1362</v>
      </c>
      <c r="R92" s="444">
        <v>877</v>
      </c>
      <c r="S92" s="444">
        <v>485</v>
      </c>
      <c r="T92" s="444">
        <v>248</v>
      </c>
      <c r="U92" s="444">
        <v>325</v>
      </c>
      <c r="V92" s="444">
        <v>304</v>
      </c>
      <c r="W92" s="444">
        <v>240</v>
      </c>
      <c r="X92" s="444">
        <v>245</v>
      </c>
      <c r="Y92" s="444">
        <v>272.39999999999998</v>
      </c>
      <c r="Z92" s="444">
        <v>0</v>
      </c>
      <c r="AA92" s="444">
        <v>0</v>
      </c>
      <c r="AB92" s="444">
        <v>478.99999999999903</v>
      </c>
      <c r="AC92" s="444">
        <v>501.99999999999994</v>
      </c>
      <c r="AD92" s="444">
        <v>0</v>
      </c>
      <c r="AE92" s="444">
        <v>0</v>
      </c>
      <c r="AF92" s="444">
        <v>0</v>
      </c>
      <c r="AG92" s="444">
        <v>0</v>
      </c>
      <c r="AH92" s="444">
        <v>0</v>
      </c>
      <c r="AI92" s="444">
        <v>0</v>
      </c>
      <c r="AJ92" s="444">
        <v>0</v>
      </c>
      <c r="AK92" s="444">
        <v>404.89183222958019</v>
      </c>
      <c r="AL92" s="444">
        <v>143.31567328918189</v>
      </c>
      <c r="AM92" s="444">
        <v>259.57174392935872</v>
      </c>
      <c r="AN92" s="444">
        <v>117.25827814569526</v>
      </c>
      <c r="AO92" s="444">
        <v>128.28256070640177</v>
      </c>
      <c r="AP92" s="444">
        <v>163.35982339955811</v>
      </c>
      <c r="AQ92" s="444">
        <v>145.32008830022005</v>
      </c>
      <c r="AR92" s="444">
        <v>0</v>
      </c>
      <c r="AS92" s="444">
        <v>138.20294117647043</v>
      </c>
      <c r="AT92" s="444">
        <v>0</v>
      </c>
      <c r="AU92" s="444">
        <v>80.650406504064961</v>
      </c>
      <c r="AV92" s="444">
        <v>124.91496598639435</v>
      </c>
      <c r="AW92" s="444">
        <v>128.30418250950555</v>
      </c>
      <c r="AX92" s="444">
        <v>101.35922330097073</v>
      </c>
      <c r="AY92" s="444">
        <v>103.47087378640761</v>
      </c>
      <c r="AZ92" s="444">
        <v>303.87412904764363</v>
      </c>
      <c r="BA92" s="444">
        <v>0</v>
      </c>
      <c r="BB92" s="444">
        <v>0</v>
      </c>
      <c r="BC92" s="444">
        <v>0</v>
      </c>
      <c r="BD92" s="444">
        <v>1.282</v>
      </c>
      <c r="BE92" s="444">
        <v>0</v>
      </c>
      <c r="BF92" s="444">
        <v>0</v>
      </c>
      <c r="BG92" s="444">
        <v>0</v>
      </c>
      <c r="BH92" s="458">
        <v>0</v>
      </c>
      <c r="BI92" s="444">
        <v>1</v>
      </c>
      <c r="BJ92" s="444">
        <v>0</v>
      </c>
      <c r="BK92" s="444">
        <v>1</v>
      </c>
    </row>
    <row r="93" spans="1:63" ht="14.5" x14ac:dyDescent="0.35">
      <c r="A93" s="454">
        <v>136634</v>
      </c>
      <c r="B93" s="454">
        <v>8315412</v>
      </c>
      <c r="C93" s="455" t="s">
        <v>147</v>
      </c>
      <c r="D93" s="431" t="s">
        <v>197</v>
      </c>
      <c r="E93" s="456" t="s">
        <v>767</v>
      </c>
      <c r="F93" s="457">
        <v>1</v>
      </c>
      <c r="G93" s="444">
        <v>0</v>
      </c>
      <c r="H93" s="444">
        <v>0</v>
      </c>
      <c r="I93" s="444">
        <v>0</v>
      </c>
      <c r="J93" s="444">
        <v>5</v>
      </c>
      <c r="K93" s="444">
        <v>3</v>
      </c>
      <c r="L93" s="444">
        <v>2</v>
      </c>
      <c r="M93" s="444">
        <v>1464</v>
      </c>
      <c r="N93" s="444">
        <v>0</v>
      </c>
      <c r="O93" s="444">
        <v>0</v>
      </c>
      <c r="P93" s="444">
        <v>0</v>
      </c>
      <c r="Q93" s="444">
        <v>1464</v>
      </c>
      <c r="R93" s="444">
        <v>894</v>
      </c>
      <c r="S93" s="444">
        <v>570</v>
      </c>
      <c r="T93" s="444">
        <v>299</v>
      </c>
      <c r="U93" s="444">
        <v>302</v>
      </c>
      <c r="V93" s="444">
        <v>293</v>
      </c>
      <c r="W93" s="444">
        <v>287</v>
      </c>
      <c r="X93" s="444">
        <v>283</v>
      </c>
      <c r="Y93" s="444">
        <v>292.8</v>
      </c>
      <c r="Z93" s="444">
        <v>0</v>
      </c>
      <c r="AA93" s="444">
        <v>0</v>
      </c>
      <c r="AB93" s="444">
        <v>400.00000000000006</v>
      </c>
      <c r="AC93" s="444">
        <v>424.99999999999937</v>
      </c>
      <c r="AD93" s="444">
        <v>0</v>
      </c>
      <c r="AE93" s="444">
        <v>0</v>
      </c>
      <c r="AF93" s="444">
        <v>0</v>
      </c>
      <c r="AG93" s="444">
        <v>0</v>
      </c>
      <c r="AH93" s="444">
        <v>0</v>
      </c>
      <c r="AI93" s="444">
        <v>0</v>
      </c>
      <c r="AJ93" s="444">
        <v>0</v>
      </c>
      <c r="AK93" s="444">
        <v>843.99999999999977</v>
      </c>
      <c r="AL93" s="444">
        <v>167.99999999999892</v>
      </c>
      <c r="AM93" s="444">
        <v>246.99999999999926</v>
      </c>
      <c r="AN93" s="444">
        <v>32.999999999999886</v>
      </c>
      <c r="AO93" s="444">
        <v>151.99999999999875</v>
      </c>
      <c r="AP93" s="444">
        <v>5.9999999999999929</v>
      </c>
      <c r="AQ93" s="444">
        <v>13.999999999999993</v>
      </c>
      <c r="AR93" s="444">
        <v>0</v>
      </c>
      <c r="AS93" s="444">
        <v>7.0095759233925987</v>
      </c>
      <c r="AT93" s="444">
        <v>0</v>
      </c>
      <c r="AU93" s="444">
        <v>88.999999999999943</v>
      </c>
      <c r="AV93" s="444">
        <v>115.53020134228164</v>
      </c>
      <c r="AW93" s="444">
        <v>107.84027777777763</v>
      </c>
      <c r="AX93" s="444">
        <v>94.648936170212707</v>
      </c>
      <c r="AY93" s="444">
        <v>93.329787234042499</v>
      </c>
      <c r="AZ93" s="444">
        <v>282.90486724663725</v>
      </c>
      <c r="BA93" s="444">
        <v>0</v>
      </c>
      <c r="BB93" s="444">
        <v>0</v>
      </c>
      <c r="BC93" s="444">
        <v>0</v>
      </c>
      <c r="BD93" s="444">
        <v>3.0270000000000001</v>
      </c>
      <c r="BE93" s="444">
        <v>0</v>
      </c>
      <c r="BF93" s="444">
        <v>1</v>
      </c>
      <c r="BG93" s="444">
        <v>0</v>
      </c>
      <c r="BH93" s="458">
        <v>0</v>
      </c>
      <c r="BI93" s="444">
        <v>1</v>
      </c>
      <c r="BJ93" s="444">
        <v>0</v>
      </c>
      <c r="BK93" s="444">
        <v>1</v>
      </c>
    </row>
    <row r="94" spans="1:63" ht="14.5" x14ac:dyDescent="0.35">
      <c r="A94" s="454">
        <v>137911</v>
      </c>
      <c r="B94" s="454">
        <v>8315414</v>
      </c>
      <c r="C94" s="455" t="s">
        <v>148</v>
      </c>
      <c r="D94" s="431" t="s">
        <v>197</v>
      </c>
      <c r="E94" s="456" t="s">
        <v>767</v>
      </c>
      <c r="F94" s="457">
        <v>1</v>
      </c>
      <c r="G94" s="444">
        <v>0</v>
      </c>
      <c r="H94" s="444">
        <v>0</v>
      </c>
      <c r="I94" s="444">
        <v>0</v>
      </c>
      <c r="J94" s="444">
        <v>5</v>
      </c>
      <c r="K94" s="444">
        <v>3</v>
      </c>
      <c r="L94" s="444">
        <v>2</v>
      </c>
      <c r="M94" s="444">
        <v>1155</v>
      </c>
      <c r="N94" s="444">
        <v>0</v>
      </c>
      <c r="O94" s="444">
        <v>0</v>
      </c>
      <c r="P94" s="444">
        <v>0</v>
      </c>
      <c r="Q94" s="444">
        <v>1155</v>
      </c>
      <c r="R94" s="444">
        <v>690</v>
      </c>
      <c r="S94" s="444">
        <v>465</v>
      </c>
      <c r="T94" s="444">
        <v>216</v>
      </c>
      <c r="U94" s="444">
        <v>236</v>
      </c>
      <c r="V94" s="444">
        <v>238</v>
      </c>
      <c r="W94" s="444">
        <v>231</v>
      </c>
      <c r="X94" s="444">
        <v>234</v>
      </c>
      <c r="Y94" s="444">
        <v>231</v>
      </c>
      <c r="Z94" s="444">
        <v>0</v>
      </c>
      <c r="AA94" s="444">
        <v>0</v>
      </c>
      <c r="AB94" s="444">
        <v>251.9999999999998</v>
      </c>
      <c r="AC94" s="444">
        <v>270.99999999999926</v>
      </c>
      <c r="AD94" s="444">
        <v>0</v>
      </c>
      <c r="AE94" s="444">
        <v>0</v>
      </c>
      <c r="AF94" s="444">
        <v>0</v>
      </c>
      <c r="AG94" s="444">
        <v>0</v>
      </c>
      <c r="AH94" s="444">
        <v>0</v>
      </c>
      <c r="AI94" s="444">
        <v>0</v>
      </c>
      <c r="AJ94" s="444">
        <v>0</v>
      </c>
      <c r="AK94" s="444">
        <v>833.72183708838725</v>
      </c>
      <c r="AL94" s="444">
        <v>126.10918544194047</v>
      </c>
      <c r="AM94" s="444">
        <v>67.058058925476587</v>
      </c>
      <c r="AN94" s="444">
        <v>22.019064124783341</v>
      </c>
      <c r="AO94" s="444">
        <v>46.039861351819681</v>
      </c>
      <c r="AP94" s="444">
        <v>17.014731369150667</v>
      </c>
      <c r="AQ94" s="444">
        <v>43.037261698440126</v>
      </c>
      <c r="AR94" s="444">
        <v>0</v>
      </c>
      <c r="AS94" s="444">
        <v>34.029462738301454</v>
      </c>
      <c r="AT94" s="444">
        <v>0</v>
      </c>
      <c r="AU94" s="444">
        <v>80.347826086956431</v>
      </c>
      <c r="AV94" s="444">
        <v>70.901287553648018</v>
      </c>
      <c r="AW94" s="444">
        <v>78.303030303030312</v>
      </c>
      <c r="AX94" s="444">
        <v>80.34782608695636</v>
      </c>
      <c r="AY94" s="444">
        <v>81.391304347825923</v>
      </c>
      <c r="AZ94" s="444">
        <v>221.1632592349452</v>
      </c>
      <c r="BA94" s="444">
        <v>0</v>
      </c>
      <c r="BB94" s="444">
        <v>0</v>
      </c>
      <c r="BC94" s="444">
        <v>0</v>
      </c>
      <c r="BD94" s="444">
        <v>1.6459999999999999</v>
      </c>
      <c r="BE94" s="444">
        <v>0</v>
      </c>
      <c r="BF94" s="444">
        <v>0</v>
      </c>
      <c r="BG94" s="444">
        <v>0</v>
      </c>
      <c r="BH94" s="458">
        <v>0</v>
      </c>
      <c r="BI94" s="444">
        <v>1</v>
      </c>
      <c r="BJ94" s="444">
        <v>0</v>
      </c>
      <c r="BK94" s="444">
        <v>1</v>
      </c>
    </row>
    <row r="95" spans="1:63" ht="14.5" x14ac:dyDescent="0.35">
      <c r="A95" s="454">
        <v>135120</v>
      </c>
      <c r="B95" s="454">
        <v>8316905</v>
      </c>
      <c r="C95" s="455" t="s">
        <v>149</v>
      </c>
      <c r="D95" s="431" t="s">
        <v>197</v>
      </c>
      <c r="E95" s="456" t="s">
        <v>767</v>
      </c>
      <c r="F95" s="457">
        <v>1</v>
      </c>
      <c r="G95" s="444">
        <v>0</v>
      </c>
      <c r="H95" s="444">
        <v>0</v>
      </c>
      <c r="I95" s="444">
        <v>0</v>
      </c>
      <c r="J95" s="444">
        <v>5</v>
      </c>
      <c r="K95" s="444">
        <v>3</v>
      </c>
      <c r="L95" s="444">
        <v>2</v>
      </c>
      <c r="M95" s="444">
        <v>1056</v>
      </c>
      <c r="N95" s="444">
        <v>0</v>
      </c>
      <c r="O95" s="444">
        <v>0</v>
      </c>
      <c r="P95" s="444">
        <v>0</v>
      </c>
      <c r="Q95" s="444">
        <v>1056</v>
      </c>
      <c r="R95" s="444">
        <v>608</v>
      </c>
      <c r="S95" s="444">
        <v>448</v>
      </c>
      <c r="T95" s="444">
        <v>203</v>
      </c>
      <c r="U95" s="444">
        <v>204</v>
      </c>
      <c r="V95" s="444">
        <v>201</v>
      </c>
      <c r="W95" s="444">
        <v>255</v>
      </c>
      <c r="X95" s="444">
        <v>193</v>
      </c>
      <c r="Y95" s="444">
        <v>211.2</v>
      </c>
      <c r="Z95" s="444">
        <v>0</v>
      </c>
      <c r="AA95" s="444">
        <v>0</v>
      </c>
      <c r="AB95" s="444">
        <v>340.99999999999932</v>
      </c>
      <c r="AC95" s="444">
        <v>412.99999999999909</v>
      </c>
      <c r="AD95" s="444">
        <v>0</v>
      </c>
      <c r="AE95" s="444">
        <v>0</v>
      </c>
      <c r="AF95" s="444">
        <v>0</v>
      </c>
      <c r="AG95" s="444">
        <v>0</v>
      </c>
      <c r="AH95" s="444">
        <v>0</v>
      </c>
      <c r="AI95" s="444">
        <v>0</v>
      </c>
      <c r="AJ95" s="444">
        <v>0</v>
      </c>
      <c r="AK95" s="444">
        <v>361.99999999999966</v>
      </c>
      <c r="AL95" s="444">
        <v>141.99999999999898</v>
      </c>
      <c r="AM95" s="444">
        <v>132.99999999999926</v>
      </c>
      <c r="AN95" s="444">
        <v>140.99999999999969</v>
      </c>
      <c r="AO95" s="444">
        <v>124.99999999999987</v>
      </c>
      <c r="AP95" s="444">
        <v>89.999999999999957</v>
      </c>
      <c r="AQ95" s="444">
        <v>62.999999999999986</v>
      </c>
      <c r="AR95" s="444">
        <v>0</v>
      </c>
      <c r="AS95" s="444">
        <v>20.114285714285664</v>
      </c>
      <c r="AT95" s="444">
        <v>0</v>
      </c>
      <c r="AU95" s="444">
        <v>68.00500000000001</v>
      </c>
      <c r="AV95" s="444">
        <v>62.532663316582735</v>
      </c>
      <c r="AW95" s="444">
        <v>63.633165829145668</v>
      </c>
      <c r="AX95" s="444">
        <v>78.214285714285651</v>
      </c>
      <c r="AY95" s="444">
        <v>59.19747899159659</v>
      </c>
      <c r="AZ95" s="444">
        <v>187.4544569823569</v>
      </c>
      <c r="BA95" s="444">
        <v>0</v>
      </c>
      <c r="BB95" s="444">
        <v>0</v>
      </c>
      <c r="BC95" s="444">
        <v>0</v>
      </c>
      <c r="BD95" s="444">
        <v>1.135</v>
      </c>
      <c r="BE95" s="444">
        <v>0</v>
      </c>
      <c r="BF95" s="444">
        <v>0</v>
      </c>
      <c r="BG95" s="444">
        <v>0</v>
      </c>
      <c r="BH95" s="458">
        <v>0</v>
      </c>
      <c r="BI95" s="444">
        <v>1</v>
      </c>
      <c r="BJ95" s="444">
        <v>0</v>
      </c>
      <c r="BK95" s="444">
        <v>1</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1BC2-A369-4A92-9566-B1E316747EC9}">
  <sheetPr codeName="Sheet3">
    <tabColor rgb="FF7030A0"/>
  </sheetPr>
  <dimension ref="A1:AJ50"/>
  <sheetViews>
    <sheetView zoomScale="130" zoomScaleNormal="130" workbookViewId="0">
      <pane xSplit="5" ySplit="3" topLeftCell="F4" activePane="bottomRight" state="frozen"/>
      <selection pane="topRight" activeCell="F1" sqref="F1"/>
      <selection pane="bottomLeft" activeCell="A4" sqref="A4"/>
      <selection pane="bottomRight" activeCell="W35" sqref="W35"/>
    </sheetView>
  </sheetViews>
  <sheetFormatPr defaultColWidth="8.81640625" defaultRowHeight="14.5" x14ac:dyDescent="0.35"/>
  <cols>
    <col min="1" max="1" width="21.453125" style="537" customWidth="1"/>
    <col min="2" max="3" width="17" style="536" hidden="1" customWidth="1"/>
    <col min="4" max="4" width="14.54296875" style="536" customWidth="1"/>
    <col min="5" max="5" width="40.54296875" style="536" customWidth="1"/>
    <col min="6" max="6" width="15.453125" style="538" customWidth="1"/>
    <col min="7" max="7" width="15.453125" style="536" customWidth="1"/>
    <col min="8" max="8" width="13" style="536" customWidth="1"/>
    <col min="9" max="9" width="18.54296875" style="536" customWidth="1"/>
    <col min="10" max="11" width="15.453125" style="536" customWidth="1"/>
    <col min="12" max="12" width="17.1796875" style="537" customWidth="1"/>
    <col min="13" max="13" width="10.1796875" style="537" customWidth="1"/>
    <col min="14" max="14" width="15.453125" style="536" customWidth="1"/>
    <col min="15" max="15" width="4.1796875" style="536" customWidth="1"/>
    <col min="16" max="16" width="20.1796875" style="536" customWidth="1"/>
    <col min="17" max="17" width="19.81640625" style="536" customWidth="1"/>
    <col min="18" max="18" width="23.81640625" style="536" customWidth="1"/>
    <col min="19" max="19" width="21.54296875" style="536" bestFit="1" customWidth="1"/>
    <col min="20" max="20" width="15.453125" style="536" customWidth="1"/>
    <col min="21" max="22" width="17.54296875" style="536" customWidth="1"/>
    <col min="23" max="23" width="21" style="536" customWidth="1"/>
    <col min="24" max="24" width="17.54296875" style="536" customWidth="1"/>
    <col min="25" max="25" width="12.54296875" style="536" customWidth="1"/>
    <col min="26" max="26" width="13.453125" style="536" customWidth="1"/>
    <col min="27" max="28" width="14.1796875" style="536" customWidth="1"/>
    <col min="29" max="31" width="17.81640625" style="536" customWidth="1"/>
    <col min="32" max="33" width="15.453125" style="536" customWidth="1"/>
    <col min="34" max="34" width="4.54296875" style="536" customWidth="1"/>
    <col min="35" max="35" width="13.453125" style="536" customWidth="1"/>
    <col min="36" max="37" width="14.1796875" style="536" customWidth="1"/>
    <col min="38" max="16384" width="8.81640625" style="536"/>
  </cols>
  <sheetData>
    <row r="1" spans="1:35" ht="19" thickBot="1" x14ac:dyDescent="0.5">
      <c r="A1" s="799" t="s">
        <v>1403</v>
      </c>
      <c r="B1" s="651"/>
      <c r="C1" s="651"/>
      <c r="E1" s="573" t="s">
        <v>261</v>
      </c>
      <c r="F1" s="800" t="s">
        <v>1062</v>
      </c>
      <c r="G1" s="800"/>
      <c r="H1" s="800"/>
      <c r="I1" s="800"/>
      <c r="J1" s="800"/>
      <c r="K1" s="800"/>
      <c r="L1" s="800"/>
      <c r="M1" s="800"/>
      <c r="N1" s="800"/>
      <c r="O1" s="647"/>
      <c r="P1" s="654" t="s">
        <v>1063</v>
      </c>
      <c r="Q1" s="652"/>
      <c r="R1" s="652"/>
      <c r="S1" s="652"/>
      <c r="T1" s="652"/>
      <c r="U1" s="652"/>
      <c r="V1" s="652"/>
      <c r="W1" s="652"/>
      <c r="X1" s="652"/>
      <c r="Y1" s="652"/>
      <c r="Z1" s="652"/>
      <c r="AA1" s="652"/>
      <c r="AB1" s="652"/>
      <c r="AC1" s="653"/>
      <c r="AD1" s="652"/>
      <c r="AE1" s="652"/>
      <c r="AF1" s="652"/>
      <c r="AG1" s="652"/>
    </row>
    <row r="2" spans="1:35" ht="19" thickBot="1" x14ac:dyDescent="0.5">
      <c r="A2" s="799"/>
      <c r="B2" s="651"/>
      <c r="C2" s="651"/>
      <c r="E2" s="590" t="s">
        <v>1064</v>
      </c>
      <c r="F2" s="650"/>
      <c r="G2" s="801" t="s">
        <v>1065</v>
      </c>
      <c r="H2" s="801"/>
      <c r="I2" s="801"/>
      <c r="J2" s="801" t="s">
        <v>262</v>
      </c>
      <c r="K2" s="801"/>
      <c r="L2" s="649"/>
      <c r="M2" s="649"/>
      <c r="N2" s="648" t="s">
        <v>1066</v>
      </c>
      <c r="O2" s="647"/>
      <c r="P2" s="802" t="s">
        <v>159</v>
      </c>
      <c r="Q2" s="802"/>
      <c r="R2" s="646" t="s">
        <v>1067</v>
      </c>
      <c r="AC2" s="645"/>
      <c r="AI2" s="536" t="s">
        <v>1068</v>
      </c>
    </row>
    <row r="3" spans="1:35" s="626" customFormat="1" ht="159.5" x14ac:dyDescent="0.35">
      <c r="A3" s="644"/>
      <c r="B3" s="626" t="s">
        <v>1069</v>
      </c>
      <c r="C3" s="626" t="s">
        <v>1070</v>
      </c>
      <c r="D3" s="643" t="s">
        <v>1071</v>
      </c>
      <c r="E3" s="642" t="s">
        <v>1</v>
      </c>
      <c r="F3" s="641" t="s">
        <v>1402</v>
      </c>
      <c r="G3" s="638" t="s">
        <v>1073</v>
      </c>
      <c r="H3" s="640" t="s">
        <v>1072</v>
      </c>
      <c r="I3" s="638" t="s">
        <v>1401</v>
      </c>
      <c r="J3" s="639" t="s">
        <v>1073</v>
      </c>
      <c r="K3" s="638" t="s">
        <v>1401</v>
      </c>
      <c r="L3" s="627" t="s">
        <v>1400</v>
      </c>
      <c r="M3" s="637" t="s">
        <v>1074</v>
      </c>
      <c r="N3" s="636" t="s">
        <v>1075</v>
      </c>
      <c r="O3" s="635"/>
      <c r="P3" s="634" t="s">
        <v>1076</v>
      </c>
      <c r="Q3" s="629" t="s">
        <v>1077</v>
      </c>
      <c r="R3" s="633" t="s">
        <v>1078</v>
      </c>
      <c r="S3" s="629" t="s">
        <v>1399</v>
      </c>
      <c r="T3" s="633" t="s">
        <v>1079</v>
      </c>
      <c r="U3" s="633" t="s">
        <v>1080</v>
      </c>
      <c r="V3" s="629" t="s">
        <v>1398</v>
      </c>
      <c r="W3" s="629" t="s">
        <v>1081</v>
      </c>
      <c r="X3" s="633" t="s">
        <v>180</v>
      </c>
      <c r="Y3" s="632" t="s">
        <v>1397</v>
      </c>
      <c r="Z3" s="632" t="s">
        <v>1396</v>
      </c>
      <c r="AA3" s="631" t="s">
        <v>195</v>
      </c>
      <c r="AB3" s="630" t="s">
        <v>1395</v>
      </c>
      <c r="AC3" s="630"/>
      <c r="AD3" s="629" t="s">
        <v>1082</v>
      </c>
      <c r="AE3" s="629" t="s">
        <v>1083</v>
      </c>
      <c r="AF3" s="628"/>
      <c r="AG3" s="627" t="s">
        <v>1394</v>
      </c>
      <c r="AH3" s="627" t="s">
        <v>1393</v>
      </c>
      <c r="AI3" s="627" t="s">
        <v>1084</v>
      </c>
    </row>
    <row r="4" spans="1:35" x14ac:dyDescent="0.35">
      <c r="D4" s="609"/>
      <c r="E4" s="608"/>
      <c r="F4" s="607"/>
      <c r="G4" s="609" t="s">
        <v>1085</v>
      </c>
      <c r="H4" s="609" t="s">
        <v>1085</v>
      </c>
      <c r="I4" s="609" t="s">
        <v>1086</v>
      </c>
      <c r="J4" s="609" t="s">
        <v>1087</v>
      </c>
      <c r="K4" s="609" t="s">
        <v>1088</v>
      </c>
      <c r="L4" s="625"/>
      <c r="M4" s="625"/>
      <c r="N4" s="621"/>
      <c r="O4" s="624"/>
      <c r="P4" s="623">
        <v>4000</v>
      </c>
      <c r="Q4" s="622">
        <v>6000</v>
      </c>
      <c r="R4" s="622">
        <v>10000</v>
      </c>
      <c r="S4" s="609"/>
      <c r="T4" s="609"/>
      <c r="U4" s="609"/>
      <c r="V4" s="609"/>
      <c r="W4" s="609"/>
      <c r="X4" s="609"/>
      <c r="Y4" s="608"/>
      <c r="Z4" s="608"/>
      <c r="AA4" s="621"/>
      <c r="AB4" s="608"/>
      <c r="AC4" s="608"/>
      <c r="AD4" s="609"/>
      <c r="AE4" s="609"/>
      <c r="AF4" s="593"/>
      <c r="AG4" s="609"/>
      <c r="AH4" s="609"/>
      <c r="AI4" s="609"/>
    </row>
    <row r="5" spans="1:35" ht="58" x14ac:dyDescent="0.35">
      <c r="A5" s="537" t="s">
        <v>1392</v>
      </c>
      <c r="D5" s="591" t="s">
        <v>1089</v>
      </c>
      <c r="E5" s="590" t="s">
        <v>1090</v>
      </c>
      <c r="F5" s="589" t="e">
        <v>#VALUE!</v>
      </c>
      <c r="G5" s="588"/>
      <c r="H5" s="588"/>
      <c r="I5" s="588"/>
      <c r="J5" s="578"/>
      <c r="K5" s="578"/>
      <c r="L5" s="620"/>
      <c r="M5" s="620"/>
      <c r="N5" s="619"/>
      <c r="O5" s="557"/>
      <c r="P5" s="618"/>
      <c r="Q5" s="584"/>
      <c r="R5" s="576"/>
      <c r="S5" s="584" t="e">
        <v>#VALUE!</v>
      </c>
      <c r="T5" s="584"/>
      <c r="U5" s="584"/>
      <c r="V5" s="584"/>
      <c r="W5" s="587"/>
      <c r="X5" s="565"/>
      <c r="Y5" s="585"/>
      <c r="Z5" s="564"/>
      <c r="AA5" s="586" t="e">
        <f t="shared" ref="AA5:AA14" si="0">SUM(P5:X5)</f>
        <v>#VALUE!</v>
      </c>
      <c r="AB5" s="585"/>
      <c r="AC5" s="585"/>
      <c r="AD5" s="584"/>
      <c r="AE5" s="584"/>
      <c r="AF5" s="583"/>
      <c r="AG5" s="575"/>
      <c r="AH5" s="575"/>
      <c r="AI5" s="575"/>
    </row>
    <row r="6" spans="1:35" x14ac:dyDescent="0.35">
      <c r="D6" s="574" t="s">
        <v>1089</v>
      </c>
      <c r="E6" s="573" t="s">
        <v>1091</v>
      </c>
      <c r="F6" s="572" t="e">
        <v>#VALUE!</v>
      </c>
      <c r="G6" s="571"/>
      <c r="H6" s="571"/>
      <c r="I6" s="571"/>
      <c r="J6" s="578"/>
      <c r="K6" s="578"/>
      <c r="L6" s="570"/>
      <c r="M6" s="570"/>
      <c r="N6" s="569"/>
      <c r="O6" s="557"/>
      <c r="P6" s="577"/>
      <c r="Q6" s="561"/>
      <c r="R6" s="576"/>
      <c r="S6" s="561" t="e">
        <v>#VALUE!</v>
      </c>
      <c r="T6" s="561"/>
      <c r="U6" s="561"/>
      <c r="V6" s="561"/>
      <c r="W6" s="566"/>
      <c r="X6" s="565"/>
      <c r="Y6" s="562"/>
      <c r="Z6" s="564"/>
      <c r="AA6" s="563" t="e">
        <f t="shared" si="0"/>
        <v>#VALUE!</v>
      </c>
      <c r="AB6" s="562"/>
      <c r="AC6" s="562"/>
      <c r="AD6" s="561"/>
      <c r="AE6" s="561"/>
      <c r="AF6" s="560"/>
      <c r="AG6" s="575"/>
      <c r="AH6" s="575"/>
      <c r="AI6" s="575"/>
    </row>
    <row r="7" spans="1:35" x14ac:dyDescent="0.35">
      <c r="D7" s="574"/>
      <c r="E7" s="573" t="s">
        <v>1391</v>
      </c>
      <c r="F7" s="572" t="e">
        <v>#VALUE!</v>
      </c>
      <c r="G7" s="617"/>
      <c r="H7" s="617"/>
      <c r="I7" s="617"/>
      <c r="J7" s="605"/>
      <c r="K7" s="605"/>
      <c r="L7" s="616"/>
      <c r="M7" s="616"/>
      <c r="N7" s="615"/>
      <c r="O7" s="602"/>
      <c r="P7" s="614"/>
      <c r="Q7" s="610"/>
      <c r="R7" s="600"/>
      <c r="S7" s="561" t="e">
        <v>#VALUE!</v>
      </c>
      <c r="T7" s="610"/>
      <c r="U7" s="610"/>
      <c r="V7" s="610"/>
      <c r="W7" s="613"/>
      <c r="X7" s="598"/>
      <c r="Y7" s="611"/>
      <c r="Z7" s="597"/>
      <c r="AA7" s="612" t="e">
        <f t="shared" si="0"/>
        <v>#VALUE!</v>
      </c>
      <c r="AB7" s="611"/>
      <c r="AC7" s="611"/>
      <c r="AD7" s="610"/>
      <c r="AE7" s="610"/>
      <c r="AF7" s="560"/>
      <c r="AG7" s="575"/>
      <c r="AH7" s="575"/>
      <c r="AI7" s="575"/>
    </row>
    <row r="8" spans="1:35" x14ac:dyDescent="0.35">
      <c r="D8" s="609" t="s">
        <v>1089</v>
      </c>
      <c r="E8" s="608" t="s">
        <v>1092</v>
      </c>
      <c r="F8" s="607">
        <v>0</v>
      </c>
      <c r="G8" s="606"/>
      <c r="H8" s="606"/>
      <c r="I8" s="606"/>
      <c r="J8" s="605"/>
      <c r="K8" s="605"/>
      <c r="L8" s="604"/>
      <c r="M8" s="604"/>
      <c r="N8" s="603"/>
      <c r="O8" s="602"/>
      <c r="P8" s="601"/>
      <c r="Q8" s="594"/>
      <c r="R8" s="600"/>
      <c r="S8" s="594">
        <v>0</v>
      </c>
      <c r="T8" s="594"/>
      <c r="U8" s="599"/>
      <c r="V8" s="599"/>
      <c r="W8" s="599"/>
      <c r="X8" s="598"/>
      <c r="Y8" s="595"/>
      <c r="Z8" s="597"/>
      <c r="AA8" s="596">
        <f t="shared" si="0"/>
        <v>0</v>
      </c>
      <c r="AB8" s="595"/>
      <c r="AC8" s="595"/>
      <c r="AD8" s="594"/>
      <c r="AE8" s="594"/>
      <c r="AF8" s="593"/>
      <c r="AG8" s="575"/>
      <c r="AH8" s="575"/>
      <c r="AI8" s="575"/>
    </row>
    <row r="9" spans="1:35" x14ac:dyDescent="0.35">
      <c r="B9" s="536" t="s">
        <v>1411</v>
      </c>
      <c r="C9" s="536" t="s">
        <v>197</v>
      </c>
      <c r="D9" s="574" t="s">
        <v>159</v>
      </c>
      <c r="E9" s="573" t="s">
        <v>148</v>
      </c>
      <c r="F9" s="572" t="e">
        <v>#VALUE!</v>
      </c>
      <c r="G9" s="571">
        <v>20</v>
      </c>
      <c r="H9" s="571"/>
      <c r="I9" s="571">
        <v>20</v>
      </c>
      <c r="J9" s="578"/>
      <c r="K9" s="578"/>
      <c r="L9" s="581" t="e">
        <f t="shared" ref="L9:L23" si="1">IF(+H9/12*5+G9/12*5+I9/12*7+J9/12*4+K9/12*8-F9-N9&gt;0,++H9/12*5+G9/12*5+I9/12*7+J9/12*4+K9/12*8-F9-N9,0)</f>
        <v>#VALUE!</v>
      </c>
      <c r="M9" s="581" t="e">
        <f t="shared" ref="M9:M23" si="2">-IF(H9/12*5+G9/12*5+I9/12*7+J9/12*4+K9/12*8-F9-N9&gt;0,0,H9/12*5+G9/12*5+I9/12*7+J9/12*4+K9/12*8-F9-N9)</f>
        <v>#VALUE!</v>
      </c>
      <c r="N9" s="580">
        <v>7.9</v>
      </c>
      <c r="O9" s="557"/>
      <c r="P9" s="579" t="e">
        <f t="shared" ref="P9:P23" si="3">L9*$P$4</f>
        <v>#VALUE!</v>
      </c>
      <c r="Q9" s="561">
        <f>((G9/12)*5+(I9/12)*7)*$Q$4</f>
        <v>120000</v>
      </c>
      <c r="R9" s="576"/>
      <c r="S9" s="561" t="e">
        <v>#VALUE!</v>
      </c>
      <c r="T9" s="561" t="e">
        <v>#VALUE!</v>
      </c>
      <c r="U9" s="561" t="e">
        <v>#VALUE!</v>
      </c>
      <c r="V9" s="561">
        <v>10780</v>
      </c>
      <c r="W9" s="566"/>
      <c r="X9" s="565"/>
      <c r="Y9" s="562"/>
      <c r="Z9" s="564"/>
      <c r="AA9" s="563" t="e">
        <f t="shared" si="0"/>
        <v>#VALUE!</v>
      </c>
      <c r="AB9" s="562"/>
      <c r="AC9" s="562"/>
      <c r="AD9" s="561"/>
      <c r="AE9" s="561"/>
      <c r="AF9" s="560"/>
      <c r="AG9" s="575"/>
      <c r="AH9" s="575"/>
      <c r="AI9" s="575"/>
    </row>
    <row r="10" spans="1:35" x14ac:dyDescent="0.35">
      <c r="B10" s="536" t="s">
        <v>1411</v>
      </c>
      <c r="C10" s="536" t="s">
        <v>265</v>
      </c>
      <c r="D10" s="574" t="s">
        <v>159</v>
      </c>
      <c r="E10" s="573" t="s">
        <v>111</v>
      </c>
      <c r="F10" s="572" t="e">
        <v>#VALUE!</v>
      </c>
      <c r="G10" s="571">
        <v>12</v>
      </c>
      <c r="H10" s="571"/>
      <c r="I10" s="571">
        <v>12</v>
      </c>
      <c r="J10" s="578"/>
      <c r="K10" s="578"/>
      <c r="L10" s="581" t="e">
        <f t="shared" si="1"/>
        <v>#VALUE!</v>
      </c>
      <c r="M10" s="581" t="e">
        <f t="shared" si="2"/>
        <v>#VALUE!</v>
      </c>
      <c r="N10" s="580">
        <v>6</v>
      </c>
      <c r="O10" s="557"/>
      <c r="P10" s="579" t="e">
        <f t="shared" si="3"/>
        <v>#VALUE!</v>
      </c>
      <c r="Q10" s="561">
        <f>((H10/12)*5+(I10/12)*7)*$Q$4</f>
        <v>42000</v>
      </c>
      <c r="R10" s="576"/>
      <c r="S10" s="561" t="e">
        <v>#VALUE!</v>
      </c>
      <c r="T10" s="561" t="e">
        <v>#VALUE!</v>
      </c>
      <c r="U10" s="561" t="e">
        <v>#VALUE!</v>
      </c>
      <c r="V10" s="561">
        <v>6468</v>
      </c>
      <c r="W10" s="566"/>
      <c r="X10" s="565"/>
      <c r="Y10" s="562"/>
      <c r="Z10" s="564"/>
      <c r="AA10" s="563" t="e">
        <f t="shared" si="0"/>
        <v>#VALUE!</v>
      </c>
      <c r="AB10" s="562"/>
      <c r="AC10" s="562"/>
      <c r="AD10" s="561"/>
      <c r="AE10" s="561"/>
      <c r="AF10" s="560"/>
      <c r="AG10" s="575"/>
      <c r="AH10" s="575"/>
      <c r="AI10" s="575"/>
    </row>
    <row r="11" spans="1:35" x14ac:dyDescent="0.35">
      <c r="B11" s="536" t="s">
        <v>1411</v>
      </c>
      <c r="C11" s="536" t="s">
        <v>265</v>
      </c>
      <c r="D11" s="574" t="s">
        <v>159</v>
      </c>
      <c r="E11" s="573" t="s">
        <v>120</v>
      </c>
      <c r="F11" s="572" t="e">
        <v>#VALUE!</v>
      </c>
      <c r="G11" s="571">
        <v>8</v>
      </c>
      <c r="H11" s="571"/>
      <c r="I11" s="571">
        <v>16</v>
      </c>
      <c r="J11" s="578"/>
      <c r="K11" s="578"/>
      <c r="L11" s="581" t="e">
        <f t="shared" si="1"/>
        <v>#VALUE!</v>
      </c>
      <c r="M11" s="581" t="e">
        <f t="shared" si="2"/>
        <v>#VALUE!</v>
      </c>
      <c r="N11" s="580">
        <v>4</v>
      </c>
      <c r="O11" s="557"/>
      <c r="P11" s="579" t="e">
        <f t="shared" si="3"/>
        <v>#VALUE!</v>
      </c>
      <c r="Q11" s="561">
        <f>((H11/12)*5+(I11/12)*7)*$Q$4</f>
        <v>55999.999999999993</v>
      </c>
      <c r="R11" s="576"/>
      <c r="S11" s="561" t="e">
        <v>#VALUE!</v>
      </c>
      <c r="T11" s="561"/>
      <c r="U11" s="561" t="e">
        <v>#VALUE!</v>
      </c>
      <c r="V11" s="561">
        <v>6827.3333333333321</v>
      </c>
      <c r="W11" s="566"/>
      <c r="X11" s="565"/>
      <c r="Y11" s="562"/>
      <c r="Z11" s="564"/>
      <c r="AA11" s="563" t="e">
        <f t="shared" si="0"/>
        <v>#VALUE!</v>
      </c>
      <c r="AB11" s="562"/>
      <c r="AC11" s="562"/>
      <c r="AD11" s="561"/>
      <c r="AE11" s="561"/>
      <c r="AF11" s="560"/>
      <c r="AG11" s="575"/>
      <c r="AH11" s="575"/>
      <c r="AI11" s="575"/>
    </row>
    <row r="12" spans="1:35" ht="29" x14ac:dyDescent="0.35">
      <c r="A12" s="592" t="s">
        <v>1390</v>
      </c>
      <c r="B12" s="536" t="s">
        <v>1064</v>
      </c>
      <c r="C12" s="536" t="s">
        <v>197</v>
      </c>
      <c r="D12" s="591" t="s">
        <v>159</v>
      </c>
      <c r="E12" s="590" t="s">
        <v>1093</v>
      </c>
      <c r="F12" s="589" t="e">
        <v>#VALUE!</v>
      </c>
      <c r="G12" s="588">
        <v>45</v>
      </c>
      <c r="H12" s="588"/>
      <c r="I12" s="588">
        <v>50</v>
      </c>
      <c r="J12" s="578"/>
      <c r="K12" s="578"/>
      <c r="L12" s="581" t="e">
        <f t="shared" si="1"/>
        <v>#VALUE!</v>
      </c>
      <c r="M12" s="581" t="e">
        <f t="shared" si="2"/>
        <v>#VALUE!</v>
      </c>
      <c r="N12" s="580">
        <v>8.9600000000000009</v>
      </c>
      <c r="O12" s="557"/>
      <c r="P12" s="579" t="e">
        <f t="shared" si="3"/>
        <v>#VALUE!</v>
      </c>
      <c r="Q12" s="584">
        <f>((G12/12)*5+(I12/12)*7)*$Q$4</f>
        <v>287500</v>
      </c>
      <c r="R12" s="576"/>
      <c r="S12" s="584" t="e">
        <v>#VALUE!</v>
      </c>
      <c r="T12" s="584" t="e">
        <v>#VALUE!</v>
      </c>
      <c r="U12" s="584" t="e">
        <v>#VALUE!</v>
      </c>
      <c r="V12" s="561">
        <v>25827.083333333336</v>
      </c>
      <c r="W12" s="587"/>
      <c r="X12" s="565"/>
      <c r="Y12" s="585"/>
      <c r="Z12" s="564"/>
      <c r="AA12" s="586" t="e">
        <f t="shared" si="0"/>
        <v>#VALUE!</v>
      </c>
      <c r="AB12" s="585"/>
      <c r="AC12" s="585"/>
      <c r="AD12" s="584"/>
      <c r="AE12" s="584"/>
      <c r="AF12" s="583"/>
      <c r="AG12" s="575"/>
      <c r="AH12" s="575"/>
      <c r="AI12" s="575"/>
    </row>
    <row r="13" spans="1:35" x14ac:dyDescent="0.35">
      <c r="B13" s="536" t="s">
        <v>1411</v>
      </c>
      <c r="C13" s="536" t="s">
        <v>265</v>
      </c>
      <c r="D13" s="574" t="s">
        <v>159</v>
      </c>
      <c r="E13" s="573" t="s">
        <v>135</v>
      </c>
      <c r="F13" s="572" t="e">
        <v>#VALUE!</v>
      </c>
      <c r="G13" s="571">
        <v>16</v>
      </c>
      <c r="H13" s="571"/>
      <c r="I13" s="571">
        <v>18</v>
      </c>
      <c r="J13" s="578"/>
      <c r="K13" s="578"/>
      <c r="L13" s="581" t="e">
        <f t="shared" si="1"/>
        <v>#VALUE!</v>
      </c>
      <c r="M13" s="581" t="e">
        <f t="shared" si="2"/>
        <v>#VALUE!</v>
      </c>
      <c r="N13" s="580">
        <v>14</v>
      </c>
      <c r="O13" s="557"/>
      <c r="P13" s="579" t="e">
        <f t="shared" si="3"/>
        <v>#VALUE!</v>
      </c>
      <c r="Q13" s="561">
        <f>((H13/12)*5+(I13/12)*7)*$Q$4</f>
        <v>63000</v>
      </c>
      <c r="R13" s="576"/>
      <c r="S13" s="561" t="e">
        <v>#VALUE!</v>
      </c>
      <c r="T13" s="561" t="e">
        <v>#VALUE!</v>
      </c>
      <c r="U13" s="561" t="e">
        <v>#VALUE!</v>
      </c>
      <c r="V13" s="561">
        <v>9252.8333333333321</v>
      </c>
      <c r="W13" s="566"/>
      <c r="X13" s="565"/>
      <c r="Y13" s="562"/>
      <c r="Z13" s="564"/>
      <c r="AA13" s="563" t="e">
        <f t="shared" si="0"/>
        <v>#VALUE!</v>
      </c>
      <c r="AB13" s="562"/>
      <c r="AC13" s="562"/>
      <c r="AD13" s="561"/>
      <c r="AE13" s="561"/>
      <c r="AF13" s="560"/>
      <c r="AG13" s="575"/>
      <c r="AH13" s="575"/>
      <c r="AI13" s="575"/>
    </row>
    <row r="14" spans="1:35" ht="29" x14ac:dyDescent="0.35">
      <c r="A14" s="537" t="s">
        <v>1389</v>
      </c>
      <c r="B14" s="536" t="s">
        <v>1411</v>
      </c>
      <c r="C14" s="536" t="s">
        <v>265</v>
      </c>
      <c r="D14" s="574" t="s">
        <v>159</v>
      </c>
      <c r="E14" s="573" t="s">
        <v>1094</v>
      </c>
      <c r="F14" s="572" t="e">
        <v>#VALUE!</v>
      </c>
      <c r="G14" s="582">
        <v>38</v>
      </c>
      <c r="H14" s="582"/>
      <c r="I14" s="571">
        <v>49</v>
      </c>
      <c r="J14" s="578"/>
      <c r="K14" s="578"/>
      <c r="L14" s="581" t="e">
        <f t="shared" si="1"/>
        <v>#VALUE!</v>
      </c>
      <c r="M14" s="581" t="e">
        <f t="shared" si="2"/>
        <v>#VALUE!</v>
      </c>
      <c r="N14" s="580">
        <v>5.48</v>
      </c>
      <c r="O14" s="557"/>
      <c r="P14" s="579" t="e">
        <f t="shared" si="3"/>
        <v>#VALUE!</v>
      </c>
      <c r="Q14" s="561">
        <f>((G14/12)*5+(I14/12)*7)*$Q$4</f>
        <v>266500</v>
      </c>
      <c r="R14" s="576"/>
      <c r="S14" s="561" t="e">
        <v>#VALUE!</v>
      </c>
      <c r="T14" s="561" t="e">
        <v>#VALUE!</v>
      </c>
      <c r="U14" s="561" t="e">
        <v>#VALUE!</v>
      </c>
      <c r="V14" s="561">
        <v>23940.583333333332</v>
      </c>
      <c r="W14" s="566"/>
      <c r="X14" s="565"/>
      <c r="Y14" s="562"/>
      <c r="Z14" s="564"/>
      <c r="AA14" s="563" t="e">
        <f t="shared" si="0"/>
        <v>#VALUE!</v>
      </c>
      <c r="AB14" s="562"/>
      <c r="AC14" s="562"/>
      <c r="AD14" s="561"/>
      <c r="AE14" s="561"/>
      <c r="AF14" s="560"/>
      <c r="AG14" s="575"/>
      <c r="AH14" s="575"/>
      <c r="AI14" s="575"/>
    </row>
    <row r="15" spans="1:35" x14ac:dyDescent="0.35">
      <c r="B15" s="536" t="s">
        <v>1411</v>
      </c>
      <c r="C15" s="536" t="s">
        <v>265</v>
      </c>
      <c r="D15" s="574" t="s">
        <v>159</v>
      </c>
      <c r="E15" s="573" t="s">
        <v>105</v>
      </c>
      <c r="F15" s="572" t="e">
        <v>#VALUE!</v>
      </c>
      <c r="G15" s="571">
        <v>12</v>
      </c>
      <c r="H15" s="571"/>
      <c r="I15" s="571">
        <v>8</v>
      </c>
      <c r="J15" s="578"/>
      <c r="K15" s="578"/>
      <c r="L15" s="581" t="e">
        <f t="shared" si="1"/>
        <v>#VALUE!</v>
      </c>
      <c r="M15" s="581" t="e">
        <f t="shared" si="2"/>
        <v>#VALUE!</v>
      </c>
      <c r="N15" s="580">
        <v>7</v>
      </c>
      <c r="O15" s="557"/>
      <c r="P15" s="579" t="e">
        <f t="shared" si="3"/>
        <v>#VALUE!</v>
      </c>
      <c r="Q15" s="561">
        <f>((H15/12)*5+(I15/12)*7)*$Q$4</f>
        <v>27999.999999999996</v>
      </c>
      <c r="R15" s="576"/>
      <c r="S15" s="561"/>
      <c r="T15" s="561" t="e">
        <v>#VALUE!</v>
      </c>
      <c r="U15" s="561"/>
      <c r="V15" s="561">
        <v>5210.333333333333</v>
      </c>
      <c r="W15" s="566"/>
      <c r="X15" s="565"/>
      <c r="Y15" s="562"/>
      <c r="Z15" s="564"/>
      <c r="AA15" s="563"/>
      <c r="AB15" s="562"/>
      <c r="AC15" s="562"/>
      <c r="AD15" s="561"/>
      <c r="AE15" s="561"/>
      <c r="AF15" s="560"/>
      <c r="AG15" s="575"/>
      <c r="AH15" s="575"/>
      <c r="AI15" s="575"/>
    </row>
    <row r="16" spans="1:35" x14ac:dyDescent="0.35">
      <c r="B16" s="536" t="s">
        <v>1411</v>
      </c>
      <c r="C16" s="536" t="s">
        <v>265</v>
      </c>
      <c r="D16" s="574" t="s">
        <v>159</v>
      </c>
      <c r="E16" s="573" t="s">
        <v>104</v>
      </c>
      <c r="F16" s="572" t="e">
        <v>#VALUE!</v>
      </c>
      <c r="G16" s="571">
        <v>12</v>
      </c>
      <c r="H16" s="571"/>
      <c r="I16" s="571">
        <v>12</v>
      </c>
      <c r="J16" s="578"/>
      <c r="K16" s="578"/>
      <c r="L16" s="581" t="e">
        <f t="shared" si="1"/>
        <v>#VALUE!</v>
      </c>
      <c r="M16" s="581" t="e">
        <f t="shared" si="2"/>
        <v>#VALUE!</v>
      </c>
      <c r="N16" s="580">
        <v>7</v>
      </c>
      <c r="O16" s="557"/>
      <c r="P16" s="579" t="e">
        <f t="shared" si="3"/>
        <v>#VALUE!</v>
      </c>
      <c r="Q16" s="561">
        <f>((H16/12)*5+(I16/12)*7)*$Q$4</f>
        <v>42000</v>
      </c>
      <c r="R16" s="576"/>
      <c r="S16" s="561" t="e">
        <v>#VALUE!</v>
      </c>
      <c r="T16" s="561" t="e">
        <v>#VALUE!</v>
      </c>
      <c r="U16" s="561" t="e">
        <v>#VALUE!</v>
      </c>
      <c r="V16" s="561">
        <v>6468</v>
      </c>
      <c r="W16" s="566"/>
      <c r="X16" s="565"/>
      <c r="Y16" s="562"/>
      <c r="Z16" s="564"/>
      <c r="AA16" s="563" t="e">
        <f t="shared" ref="AA16:AA24" si="4">SUM(P16:X16)</f>
        <v>#VALUE!</v>
      </c>
      <c r="AB16" s="562"/>
      <c r="AC16" s="562"/>
      <c r="AD16" s="561"/>
      <c r="AE16" s="561"/>
      <c r="AF16" s="560"/>
      <c r="AG16" s="575"/>
      <c r="AH16" s="575"/>
      <c r="AI16" s="575"/>
    </row>
    <row r="17" spans="1:36" x14ac:dyDescent="0.35">
      <c r="B17" s="536" t="s">
        <v>1411</v>
      </c>
      <c r="C17" s="536" t="s">
        <v>265</v>
      </c>
      <c r="D17" s="574" t="s">
        <v>159</v>
      </c>
      <c r="E17" s="573" t="s">
        <v>1095</v>
      </c>
      <c r="F17" s="572" t="e">
        <v>#VALUE!</v>
      </c>
      <c r="G17" s="571">
        <v>10</v>
      </c>
      <c r="H17" s="571"/>
      <c r="I17" s="571">
        <v>12</v>
      </c>
      <c r="J17" s="578"/>
      <c r="K17" s="578"/>
      <c r="L17" s="581" t="e">
        <f t="shared" si="1"/>
        <v>#VALUE!</v>
      </c>
      <c r="M17" s="581" t="e">
        <f t="shared" si="2"/>
        <v>#VALUE!</v>
      </c>
      <c r="N17" s="580">
        <v>7</v>
      </c>
      <c r="O17" s="557"/>
      <c r="P17" s="579" t="e">
        <f t="shared" si="3"/>
        <v>#VALUE!</v>
      </c>
      <c r="Q17" s="561">
        <f>((G17/12)*5+(I17/12)*7)*$Q$4</f>
        <v>67000</v>
      </c>
      <c r="R17" s="576"/>
      <c r="S17" s="561" t="e">
        <v>#VALUE!</v>
      </c>
      <c r="T17" s="561" t="e">
        <v>#VALUE!</v>
      </c>
      <c r="U17" s="561" t="e">
        <v>#VALUE!</v>
      </c>
      <c r="V17" s="561">
        <v>6018.8333333333339</v>
      </c>
      <c r="W17" s="566"/>
      <c r="X17" s="565"/>
      <c r="Y17" s="562"/>
      <c r="Z17" s="564"/>
      <c r="AA17" s="563" t="e">
        <f t="shared" si="4"/>
        <v>#VALUE!</v>
      </c>
      <c r="AB17" s="562"/>
      <c r="AC17" s="562"/>
      <c r="AD17" s="561"/>
      <c r="AE17" s="561"/>
      <c r="AF17" s="560"/>
      <c r="AG17" s="575"/>
      <c r="AH17" s="575"/>
      <c r="AI17" s="575"/>
    </row>
    <row r="18" spans="1:36" x14ac:dyDescent="0.35">
      <c r="B18" s="536" t="s">
        <v>1411</v>
      </c>
      <c r="C18" s="536" t="s">
        <v>197</v>
      </c>
      <c r="D18" s="574" t="s">
        <v>159</v>
      </c>
      <c r="E18" s="573" t="s">
        <v>579</v>
      </c>
      <c r="F18" s="572" t="e">
        <v>#VALUE!</v>
      </c>
      <c r="G18" s="571">
        <v>12</v>
      </c>
      <c r="H18" s="571"/>
      <c r="I18" s="571">
        <v>0</v>
      </c>
      <c r="J18" s="578"/>
      <c r="K18" s="578"/>
      <c r="L18" s="570" t="e">
        <f t="shared" si="1"/>
        <v>#VALUE!</v>
      </c>
      <c r="M18" s="581" t="e">
        <f t="shared" si="2"/>
        <v>#VALUE!</v>
      </c>
      <c r="N18" s="580">
        <v>2</v>
      </c>
      <c r="O18" s="557"/>
      <c r="P18" s="579" t="e">
        <f t="shared" si="3"/>
        <v>#VALUE!</v>
      </c>
      <c r="Q18" s="561">
        <f>((G18/12)*5+(I18/12)*7)*$Q$4</f>
        <v>30000</v>
      </c>
      <c r="R18" s="576"/>
      <c r="S18" s="561" t="e">
        <v>#VALUE!</v>
      </c>
      <c r="T18" s="561" t="e">
        <v>#VALUE!</v>
      </c>
      <c r="U18" s="561" t="e">
        <v>#VALUE!</v>
      </c>
      <c r="V18" s="561">
        <v>2695</v>
      </c>
      <c r="W18" s="566"/>
      <c r="X18" s="565"/>
      <c r="Y18" s="562"/>
      <c r="Z18" s="564"/>
      <c r="AA18" s="563" t="e">
        <f t="shared" si="4"/>
        <v>#VALUE!</v>
      </c>
      <c r="AB18" s="562"/>
      <c r="AC18" s="562"/>
      <c r="AD18" s="561"/>
      <c r="AE18" s="561"/>
      <c r="AF18" s="560"/>
      <c r="AG18" s="575"/>
      <c r="AH18" s="575"/>
      <c r="AI18" s="575"/>
    </row>
    <row r="19" spans="1:36" ht="58" x14ac:dyDescent="0.35">
      <c r="A19" s="537" t="s">
        <v>1388</v>
      </c>
      <c r="B19" s="536" t="s">
        <v>1411</v>
      </c>
      <c r="C19" s="536" t="s">
        <v>265</v>
      </c>
      <c r="D19" s="574" t="s">
        <v>159</v>
      </c>
      <c r="E19" s="573" t="s">
        <v>117</v>
      </c>
      <c r="F19" s="572" t="e">
        <v>#VALUE!</v>
      </c>
      <c r="G19" s="571">
        <v>60</v>
      </c>
      <c r="H19" s="571"/>
      <c r="I19" s="571">
        <v>65</v>
      </c>
      <c r="J19" s="578"/>
      <c r="K19" s="578"/>
      <c r="L19" s="581" t="e">
        <f t="shared" si="1"/>
        <v>#VALUE!</v>
      </c>
      <c r="M19" s="581" t="e">
        <f t="shared" si="2"/>
        <v>#VALUE!</v>
      </c>
      <c r="N19" s="580">
        <v>12.48</v>
      </c>
      <c r="O19" s="557"/>
      <c r="P19" s="579" t="e">
        <f t="shared" si="3"/>
        <v>#VALUE!</v>
      </c>
      <c r="Q19" s="561">
        <f>((G19/12)*5+(I19/12)*7)*$Q$4</f>
        <v>377500</v>
      </c>
      <c r="R19" s="576"/>
      <c r="S19" s="561" t="e">
        <v>#VALUE!</v>
      </c>
      <c r="T19" s="561" t="e">
        <v>#VALUE!</v>
      </c>
      <c r="U19" s="561" t="e">
        <v>#VALUE!</v>
      </c>
      <c r="V19" s="561">
        <v>33912.083333333336</v>
      </c>
      <c r="W19" s="566"/>
      <c r="X19" s="565"/>
      <c r="Y19" s="562"/>
      <c r="Z19" s="564"/>
      <c r="AA19" s="563" t="e">
        <f t="shared" si="4"/>
        <v>#VALUE!</v>
      </c>
      <c r="AB19" s="562"/>
      <c r="AC19" s="562"/>
      <c r="AD19" s="561"/>
      <c r="AE19" s="561"/>
      <c r="AF19" s="560"/>
      <c r="AG19" s="575"/>
      <c r="AH19" s="575"/>
      <c r="AI19" s="575"/>
    </row>
    <row r="20" spans="1:36" x14ac:dyDescent="0.35">
      <c r="A20" s="537" t="s">
        <v>1387</v>
      </c>
      <c r="B20" s="536" t="s">
        <v>1411</v>
      </c>
      <c r="C20" s="536" t="s">
        <v>265</v>
      </c>
      <c r="D20" s="574" t="s">
        <v>159</v>
      </c>
      <c r="E20" s="573" t="s">
        <v>1096</v>
      </c>
      <c r="F20" s="572" t="e">
        <v>#VALUE!</v>
      </c>
      <c r="G20" s="571"/>
      <c r="H20" s="571"/>
      <c r="I20" s="571">
        <v>0</v>
      </c>
      <c r="J20" s="578"/>
      <c r="K20" s="578"/>
      <c r="L20" s="570" t="e">
        <f t="shared" si="1"/>
        <v>#VALUE!</v>
      </c>
      <c r="M20" s="570" t="e">
        <f t="shared" si="2"/>
        <v>#VALUE!</v>
      </c>
      <c r="N20" s="569"/>
      <c r="O20" s="557"/>
      <c r="P20" s="579" t="e">
        <f t="shared" si="3"/>
        <v>#VALUE!</v>
      </c>
      <c r="Q20" s="561">
        <f>((H20/12)*5+(I20/12)*7)*$Q$4</f>
        <v>0</v>
      </c>
      <c r="R20" s="576"/>
      <c r="S20" s="561" t="e">
        <v>#VALUE!</v>
      </c>
      <c r="T20" s="561" t="e">
        <v>#VALUE!</v>
      </c>
      <c r="U20" s="561" t="e">
        <v>#VALUE!</v>
      </c>
      <c r="V20" s="561">
        <v>0</v>
      </c>
      <c r="W20" s="566"/>
      <c r="X20" s="565"/>
      <c r="Y20" s="562"/>
      <c r="Z20" s="564"/>
      <c r="AA20" s="563" t="e">
        <f t="shared" si="4"/>
        <v>#VALUE!</v>
      </c>
      <c r="AB20" s="562"/>
      <c r="AC20" s="562"/>
      <c r="AD20" s="561"/>
      <c r="AE20" s="561"/>
      <c r="AF20" s="560"/>
      <c r="AG20" s="575"/>
      <c r="AH20" s="575"/>
      <c r="AI20" s="575"/>
    </row>
    <row r="21" spans="1:36" x14ac:dyDescent="0.35">
      <c r="B21" s="536" t="s">
        <v>1411</v>
      </c>
      <c r="C21" s="536" t="s">
        <v>265</v>
      </c>
      <c r="D21" s="574" t="s">
        <v>159</v>
      </c>
      <c r="E21" s="573" t="s">
        <v>133</v>
      </c>
      <c r="F21" s="572" t="e">
        <v>#VALUE!</v>
      </c>
      <c r="G21" s="571">
        <v>26</v>
      </c>
      <c r="H21" s="571"/>
      <c r="I21" s="571">
        <v>26</v>
      </c>
      <c r="J21" s="578"/>
      <c r="K21" s="578"/>
      <c r="L21" s="581" t="e">
        <f t="shared" si="1"/>
        <v>#VALUE!</v>
      </c>
      <c r="M21" s="581" t="e">
        <f t="shared" si="2"/>
        <v>#VALUE!</v>
      </c>
      <c r="N21" s="580">
        <v>10</v>
      </c>
      <c r="O21" s="557"/>
      <c r="P21" s="579" t="e">
        <f t="shared" si="3"/>
        <v>#VALUE!</v>
      </c>
      <c r="Q21" s="561">
        <f>((H21/12)*5+(I21/12)*7)*$Q$4</f>
        <v>91000</v>
      </c>
      <c r="R21" s="576"/>
      <c r="S21" s="561" t="e">
        <v>#VALUE!</v>
      </c>
      <c r="T21" s="561" t="e">
        <v>#VALUE!</v>
      </c>
      <c r="U21" s="561" t="e">
        <v>#VALUE!</v>
      </c>
      <c r="V21" s="561">
        <v>14014</v>
      </c>
      <c r="W21" s="566"/>
      <c r="X21" s="565"/>
      <c r="Y21" s="562"/>
      <c r="Z21" s="564"/>
      <c r="AA21" s="563" t="e">
        <f t="shared" si="4"/>
        <v>#VALUE!</v>
      </c>
      <c r="AB21" s="562"/>
      <c r="AC21" s="562"/>
      <c r="AD21" s="561"/>
      <c r="AE21" s="561"/>
      <c r="AF21" s="560"/>
      <c r="AG21" s="575"/>
      <c r="AH21" s="575"/>
      <c r="AI21" s="575"/>
    </row>
    <row r="22" spans="1:36" x14ac:dyDescent="0.35">
      <c r="A22" s="537" t="s">
        <v>1386</v>
      </c>
      <c r="B22" s="536" t="s">
        <v>1411</v>
      </c>
      <c r="C22" s="536" t="s">
        <v>197</v>
      </c>
      <c r="D22" s="574" t="s">
        <v>159</v>
      </c>
      <c r="E22" s="573" t="s">
        <v>1097</v>
      </c>
      <c r="F22" s="572"/>
      <c r="G22" s="571"/>
      <c r="H22" s="571"/>
      <c r="I22" s="571">
        <v>0</v>
      </c>
      <c r="J22" s="578"/>
      <c r="K22" s="578"/>
      <c r="L22" s="570">
        <f t="shared" si="1"/>
        <v>0</v>
      </c>
      <c r="M22" s="570">
        <f t="shared" si="2"/>
        <v>0</v>
      </c>
      <c r="N22" s="569"/>
      <c r="O22" s="557"/>
      <c r="P22" s="579">
        <f t="shared" si="3"/>
        <v>0</v>
      </c>
      <c r="Q22" s="561">
        <f>((G22/12)*5+(I22/12)*7)*$Q$4</f>
        <v>0</v>
      </c>
      <c r="R22" s="576"/>
      <c r="S22" s="561"/>
      <c r="T22" s="561">
        <v>0</v>
      </c>
      <c r="U22" s="561" t="e">
        <v>#VALUE!</v>
      </c>
      <c r="V22" s="561">
        <v>0</v>
      </c>
      <c r="W22" s="566"/>
      <c r="X22" s="565"/>
      <c r="Y22" s="562"/>
      <c r="Z22" s="564"/>
      <c r="AA22" s="563" t="e">
        <f t="shared" si="4"/>
        <v>#VALUE!</v>
      </c>
      <c r="AB22" s="562"/>
      <c r="AC22" s="562"/>
      <c r="AD22" s="561"/>
      <c r="AE22" s="561"/>
      <c r="AF22" s="560"/>
      <c r="AG22" s="575"/>
      <c r="AH22" s="575"/>
      <c r="AI22" s="575"/>
    </row>
    <row r="23" spans="1:36" x14ac:dyDescent="0.35">
      <c r="A23" s="537" t="s">
        <v>1386</v>
      </c>
      <c r="B23" s="536" t="s">
        <v>1411</v>
      </c>
      <c r="C23" s="536" t="s">
        <v>197</v>
      </c>
      <c r="D23" s="574" t="s">
        <v>159</v>
      </c>
      <c r="E23" s="573" t="s">
        <v>1098</v>
      </c>
      <c r="F23" s="572"/>
      <c r="G23" s="571"/>
      <c r="H23" s="571"/>
      <c r="I23" s="571">
        <v>0</v>
      </c>
      <c r="J23" s="578"/>
      <c r="K23" s="578"/>
      <c r="L23" s="570">
        <f t="shared" si="1"/>
        <v>0</v>
      </c>
      <c r="M23" s="570">
        <f t="shared" si="2"/>
        <v>0</v>
      </c>
      <c r="N23" s="569"/>
      <c r="O23" s="557"/>
      <c r="P23" s="579">
        <f t="shared" si="3"/>
        <v>0</v>
      </c>
      <c r="Q23" s="561">
        <f>((G23/12)*5+(I23/12)*7)*$Q$4</f>
        <v>0</v>
      </c>
      <c r="R23" s="576"/>
      <c r="S23" s="561"/>
      <c r="T23" s="561">
        <v>0</v>
      </c>
      <c r="U23" s="561" t="e">
        <v>#VALUE!</v>
      </c>
      <c r="V23" s="561">
        <v>0</v>
      </c>
      <c r="W23" s="566"/>
      <c r="X23" s="565"/>
      <c r="Y23" s="562"/>
      <c r="Z23" s="564"/>
      <c r="AA23" s="563" t="e">
        <f t="shared" si="4"/>
        <v>#VALUE!</v>
      </c>
      <c r="AB23" s="562"/>
      <c r="AC23" s="562"/>
      <c r="AD23" s="561"/>
      <c r="AE23" s="561"/>
      <c r="AF23" s="560"/>
      <c r="AG23" s="575"/>
      <c r="AH23" s="575"/>
      <c r="AI23" s="575"/>
    </row>
    <row r="24" spans="1:36" x14ac:dyDescent="0.35">
      <c r="B24" s="536">
        <v>0</v>
      </c>
      <c r="C24" s="536">
        <v>0</v>
      </c>
      <c r="D24" s="574"/>
      <c r="E24" s="573"/>
      <c r="F24" s="572"/>
      <c r="G24" s="571"/>
      <c r="H24" s="571"/>
      <c r="I24" s="571"/>
      <c r="J24" s="578"/>
      <c r="K24" s="578"/>
      <c r="L24" s="570"/>
      <c r="M24" s="570"/>
      <c r="N24" s="569"/>
      <c r="O24" s="557"/>
      <c r="P24" s="577"/>
      <c r="Q24" s="561"/>
      <c r="R24" s="576"/>
      <c r="S24" s="561"/>
      <c r="T24" s="561"/>
      <c r="U24" s="561"/>
      <c r="V24" s="561"/>
      <c r="W24" s="566"/>
      <c r="X24" s="565"/>
      <c r="Y24" s="562"/>
      <c r="Z24" s="564"/>
      <c r="AA24" s="563">
        <f t="shared" si="4"/>
        <v>0</v>
      </c>
      <c r="AB24" s="562"/>
      <c r="AC24" s="562"/>
      <c r="AD24" s="561"/>
      <c r="AE24" s="561"/>
      <c r="AF24" s="560"/>
      <c r="AG24" s="575"/>
      <c r="AH24" s="575"/>
      <c r="AI24" s="575"/>
    </row>
    <row r="25" spans="1:36" x14ac:dyDescent="0.35">
      <c r="B25" s="536" t="e">
        <v>#N/A</v>
      </c>
      <c r="C25" s="536" t="e">
        <v>#N/A</v>
      </c>
      <c r="D25" s="574" t="s">
        <v>262</v>
      </c>
      <c r="E25" s="573" t="s">
        <v>1385</v>
      </c>
      <c r="F25" s="578"/>
      <c r="G25" s="578"/>
      <c r="H25" s="578"/>
      <c r="I25" s="578"/>
      <c r="J25" s="571">
        <v>35</v>
      </c>
      <c r="K25" s="571">
        <v>45</v>
      </c>
      <c r="L25" s="570"/>
      <c r="M25" s="570"/>
      <c r="N25" s="569"/>
      <c r="O25" s="557"/>
      <c r="P25" s="577"/>
      <c r="Q25" s="561"/>
      <c r="R25" s="576"/>
      <c r="S25" s="561"/>
      <c r="T25" s="561"/>
      <c r="U25" s="561"/>
      <c r="V25" s="561"/>
      <c r="W25" s="566"/>
      <c r="X25" s="565"/>
      <c r="Y25" s="562"/>
      <c r="Z25" s="562">
        <f>+((J25*6000)/12*4)+((K25*6000)/12*8)</f>
        <v>250000</v>
      </c>
      <c r="AA25" s="563">
        <f>SUM(P25:Z25)</f>
        <v>250000</v>
      </c>
      <c r="AB25" s="562"/>
      <c r="AC25" s="562"/>
      <c r="AD25" s="561"/>
      <c r="AE25" s="561"/>
      <c r="AF25" s="560"/>
      <c r="AG25" s="575"/>
      <c r="AH25" s="575"/>
      <c r="AI25" s="575"/>
    </row>
    <row r="26" spans="1:36" x14ac:dyDescent="0.35">
      <c r="B26" s="536" t="e">
        <v>#N/A</v>
      </c>
      <c r="C26" s="536" t="e">
        <v>#N/A</v>
      </c>
      <c r="D26" s="574" t="s">
        <v>262</v>
      </c>
      <c r="E26" s="573" t="s">
        <v>1384</v>
      </c>
      <c r="F26" s="578"/>
      <c r="G26" s="578"/>
      <c r="H26" s="578"/>
      <c r="I26" s="578"/>
      <c r="J26" s="571">
        <v>550</v>
      </c>
      <c r="K26" s="571">
        <v>650</v>
      </c>
      <c r="L26" s="570"/>
      <c r="M26" s="570"/>
      <c r="N26" s="569"/>
      <c r="O26" s="557"/>
      <c r="P26" s="577"/>
      <c r="Q26" s="561"/>
      <c r="R26" s="576"/>
      <c r="S26" s="561"/>
      <c r="T26" s="561"/>
      <c r="U26" s="561"/>
      <c r="V26" s="561"/>
      <c r="W26" s="566"/>
      <c r="X26" s="565"/>
      <c r="Y26" s="562"/>
      <c r="Z26" s="562">
        <f>+((J26*6000)/12*4)+((K26*6000)/12*8)</f>
        <v>3700000</v>
      </c>
      <c r="AA26" s="563">
        <f>SUM(P26:Z26)</f>
        <v>3700000</v>
      </c>
      <c r="AB26" s="562"/>
      <c r="AC26" s="562"/>
      <c r="AD26" s="561"/>
      <c r="AE26" s="561"/>
      <c r="AF26" s="560"/>
      <c r="AG26" s="575"/>
      <c r="AH26" s="575"/>
      <c r="AI26" s="575"/>
    </row>
    <row r="27" spans="1:36" x14ac:dyDescent="0.35">
      <c r="B27" s="536" t="e">
        <v>#N/A</v>
      </c>
      <c r="C27" s="536" t="e">
        <v>#N/A</v>
      </c>
      <c r="D27" s="574" t="s">
        <v>262</v>
      </c>
      <c r="E27" s="573" t="s">
        <v>1383</v>
      </c>
      <c r="F27" s="578"/>
      <c r="G27" s="578"/>
      <c r="H27" s="578"/>
      <c r="I27" s="578"/>
      <c r="J27" s="571">
        <v>34</v>
      </c>
      <c r="K27" s="571">
        <v>40</v>
      </c>
      <c r="L27" s="570"/>
      <c r="M27" s="570"/>
      <c r="N27" s="569"/>
      <c r="O27" s="557"/>
      <c r="P27" s="577"/>
      <c r="Q27" s="561"/>
      <c r="R27" s="576"/>
      <c r="S27" s="561"/>
      <c r="T27" s="561"/>
      <c r="U27" s="561"/>
      <c r="V27" s="561"/>
      <c r="W27" s="566"/>
      <c r="X27" s="565"/>
      <c r="Y27" s="562"/>
      <c r="Z27" s="562">
        <f>+((J27*6000)/12*4)+((K27*6000)/12*8)</f>
        <v>228000</v>
      </c>
      <c r="AA27" s="563">
        <f>SUM(P27:Z27)</f>
        <v>228000</v>
      </c>
      <c r="AB27" s="562"/>
      <c r="AC27" s="562"/>
      <c r="AD27" s="561"/>
      <c r="AE27" s="561"/>
      <c r="AF27" s="560"/>
      <c r="AG27" s="575"/>
      <c r="AH27" s="575"/>
      <c r="AI27" s="575"/>
    </row>
    <row r="28" spans="1:36" x14ac:dyDescent="0.35">
      <c r="B28" s="536" t="e">
        <v>#N/A</v>
      </c>
      <c r="C28" s="536" t="e">
        <v>#N/A</v>
      </c>
      <c r="D28" s="574" t="s">
        <v>262</v>
      </c>
      <c r="E28" s="573" t="s">
        <v>139</v>
      </c>
      <c r="F28" s="578"/>
      <c r="G28" s="578"/>
      <c r="H28" s="578"/>
      <c r="I28" s="578"/>
      <c r="J28" s="571">
        <v>45</v>
      </c>
      <c r="K28" s="571">
        <v>45</v>
      </c>
      <c r="L28" s="570"/>
      <c r="M28" s="570"/>
      <c r="N28" s="569"/>
      <c r="O28" s="557"/>
      <c r="P28" s="577"/>
      <c r="Q28" s="561"/>
      <c r="R28" s="576"/>
      <c r="S28" s="561"/>
      <c r="T28" s="561"/>
      <c r="U28" s="561"/>
      <c r="V28" s="561"/>
      <c r="W28" s="566"/>
      <c r="X28" s="565"/>
      <c r="Y28" s="562"/>
      <c r="Z28" s="562">
        <f>+((J28*6000)/12*4)+((K28*6000)/12*8)</f>
        <v>270000</v>
      </c>
      <c r="AA28" s="563">
        <f>SUM(P28:Z28)</f>
        <v>270000</v>
      </c>
      <c r="AB28" s="562"/>
      <c r="AC28" s="562"/>
      <c r="AD28" s="561"/>
      <c r="AE28" s="561"/>
      <c r="AF28" s="560"/>
      <c r="AG28" s="575"/>
      <c r="AH28" s="575"/>
      <c r="AI28" s="575"/>
    </row>
    <row r="29" spans="1:36" x14ac:dyDescent="0.35">
      <c r="D29" s="574"/>
      <c r="E29" s="573"/>
      <c r="F29" s="572"/>
      <c r="G29" s="571"/>
      <c r="H29" s="571"/>
      <c r="I29" s="571"/>
      <c r="J29" s="571"/>
      <c r="K29" s="571"/>
      <c r="L29" s="570"/>
      <c r="M29" s="570"/>
      <c r="N29" s="569"/>
      <c r="O29" s="557"/>
      <c r="P29" s="577"/>
      <c r="Q29" s="561"/>
      <c r="R29" s="576"/>
      <c r="S29" s="561"/>
      <c r="T29" s="561"/>
      <c r="U29" s="561"/>
      <c r="V29" s="561"/>
      <c r="W29" s="566"/>
      <c r="X29" s="565"/>
      <c r="Y29" s="562"/>
      <c r="Z29" s="564"/>
      <c r="AA29" s="563"/>
      <c r="AB29" s="562"/>
      <c r="AC29" s="562"/>
      <c r="AD29" s="561"/>
      <c r="AE29" s="561"/>
      <c r="AF29" s="560"/>
      <c r="AG29" s="575"/>
      <c r="AH29" s="575"/>
      <c r="AI29" s="575"/>
    </row>
    <row r="30" spans="1:36" ht="43.5" x14ac:dyDescent="0.35">
      <c r="A30" s="537" t="s">
        <v>1382</v>
      </c>
      <c r="B30" s="536" t="s">
        <v>1411</v>
      </c>
      <c r="C30" s="536" t="s">
        <v>1412</v>
      </c>
      <c r="D30" s="574" t="s">
        <v>1099</v>
      </c>
      <c r="E30" s="573" t="s">
        <v>263</v>
      </c>
      <c r="F30" s="572" t="e">
        <v>#VALUE!</v>
      </c>
      <c r="G30" s="571">
        <v>88</v>
      </c>
      <c r="H30" s="571"/>
      <c r="I30" s="571">
        <v>89</v>
      </c>
      <c r="J30" s="571">
        <v>11</v>
      </c>
      <c r="K30" s="571">
        <v>19</v>
      </c>
      <c r="L30" s="570" t="e">
        <f>IF(+H30/12*5+G30/12*5+I30/12*7+J30/12*4+K30/12*8-F30-N30&gt;0,++H30/12*5+G30/12*5+I30/12*7+J30/12*4+K30/12*8-F30-N30,0)</f>
        <v>#VALUE!</v>
      </c>
      <c r="M30" s="570" t="e">
        <f t="shared" ref="M30:M36" si="5">-IF(H30/12*5+G30/12*5+I30/12*7+J30/12*4+K30/12*8-F30-N30&gt;0,0,H30/12*5+G30/12*5+I30/12*7+J30/12*4+K30/12*8-F30-N30)</f>
        <v>#VALUE!</v>
      </c>
      <c r="N30" s="569">
        <v>3.33</v>
      </c>
      <c r="O30" s="557"/>
      <c r="P30" s="568"/>
      <c r="Q30" s="567"/>
      <c r="R30" s="566">
        <f>(((G30/12)*5+(I30/12)*7)*$R$4)+(((J30/12)*4+(K30/12)*8)*$R$4)</f>
        <v>1049166.6666666667</v>
      </c>
      <c r="S30" s="561" t="e">
        <v>#VALUE!</v>
      </c>
      <c r="T30" s="561" t="e">
        <v>#VALUE!</v>
      </c>
      <c r="U30" s="561" t="e">
        <v>#VALUE!</v>
      </c>
      <c r="V30" s="561">
        <v>484907.72691919195</v>
      </c>
      <c r="W30" s="566"/>
      <c r="X30" s="565"/>
      <c r="Y30" s="562">
        <v>178101</v>
      </c>
      <c r="Z30" s="564"/>
      <c r="AA30" s="563" t="e">
        <f t="shared" ref="AA30:AA39" si="6">SUM(P30:Y30)</f>
        <v>#VALUE!</v>
      </c>
      <c r="AB30" s="562">
        <v>53856.090000000004</v>
      </c>
      <c r="AC30" s="562"/>
      <c r="AD30" s="561" t="e">
        <v>#VALUE!</v>
      </c>
      <c r="AE30" s="561"/>
      <c r="AF30" s="560"/>
      <c r="AG30" s="559">
        <v>26213.140202020179</v>
      </c>
      <c r="AH30" s="558" t="e">
        <f>(S30+R30+T30+Y30+AB30)/(((G30/12)*5)+((I30/12)*7)+((J30/12)*4)+((K30/12)*8)+M30)</f>
        <v>#VALUE!</v>
      </c>
      <c r="AI30" s="558" t="e">
        <f>AH30-AG30</f>
        <v>#VALUE!</v>
      </c>
      <c r="AJ30" s="536" t="s">
        <v>1380</v>
      </c>
    </row>
    <row r="31" spans="1:36" ht="43.5" x14ac:dyDescent="0.35">
      <c r="A31" s="537" t="s">
        <v>1381</v>
      </c>
      <c r="B31" s="536" t="s">
        <v>1411</v>
      </c>
      <c r="C31" s="536" t="s">
        <v>1412</v>
      </c>
      <c r="D31" s="574" t="s">
        <v>1099</v>
      </c>
      <c r="E31" s="573" t="s">
        <v>1100</v>
      </c>
      <c r="F31" s="572" t="e">
        <v>#VALUE!</v>
      </c>
      <c r="G31" s="571">
        <v>125</v>
      </c>
      <c r="H31" s="571"/>
      <c r="I31" s="571">
        <v>115</v>
      </c>
      <c r="J31" s="571">
        <v>45</v>
      </c>
      <c r="K31" s="571">
        <v>60</v>
      </c>
      <c r="L31" s="570">
        <v>10.5</v>
      </c>
      <c r="M31" s="570" t="e">
        <f t="shared" si="5"/>
        <v>#VALUE!</v>
      </c>
      <c r="N31" s="569">
        <v>7.5</v>
      </c>
      <c r="O31" s="557"/>
      <c r="P31" s="568"/>
      <c r="Q31" s="567"/>
      <c r="R31" s="566">
        <f>(((G31/12)*5+(I31/12)*7)*$R$4)+(((J31/12)*4+(K31/12)*8)*$R$4)</f>
        <v>1741666.6666666667</v>
      </c>
      <c r="S31" s="561" t="e">
        <v>#VALUE!</v>
      </c>
      <c r="T31" s="561">
        <v>112035</v>
      </c>
      <c r="U31" s="561" t="e">
        <v>#VALUE!</v>
      </c>
      <c r="V31" s="561">
        <v>773773.78307888051</v>
      </c>
      <c r="W31" s="566"/>
      <c r="X31" s="565"/>
      <c r="Y31" s="562"/>
      <c r="Z31" s="564"/>
      <c r="AA31" s="563" t="e">
        <f t="shared" si="6"/>
        <v>#VALUE!</v>
      </c>
      <c r="AB31" s="562">
        <v>80025</v>
      </c>
      <c r="AC31" s="562"/>
      <c r="AD31" s="561" t="e">
        <v>#VALUE!</v>
      </c>
      <c r="AE31" s="561"/>
      <c r="AF31" s="560"/>
      <c r="AG31" s="559">
        <v>20695.158966565319</v>
      </c>
      <c r="AH31" s="558" t="e">
        <f>(S31+R31+T31+Y31+AB31)/(((G31/12)*5)+((I31/12)*7)+((J31/12)*4)+((K31/12)*8)+M31)</f>
        <v>#VALUE!</v>
      </c>
      <c r="AI31" s="558" t="e">
        <f>AH31-AG31</f>
        <v>#VALUE!</v>
      </c>
    </row>
    <row r="32" spans="1:36" x14ac:dyDescent="0.35">
      <c r="D32" s="574"/>
      <c r="E32" s="573"/>
      <c r="F32" s="572"/>
      <c r="G32" s="571"/>
      <c r="H32" s="571"/>
      <c r="I32" s="571"/>
      <c r="J32" s="571"/>
      <c r="K32" s="571"/>
      <c r="L32" s="570">
        <f>IF(+H32/12*5+G32/12*5+I32/12*7+J32/12*4+K32/12*8-F32-N32&gt;0,++H32/12*5+G32/12*5+I32/12*7+J32/12*4+K32/12*8-F32-N32,0)</f>
        <v>0</v>
      </c>
      <c r="M32" s="570">
        <f t="shared" si="5"/>
        <v>0</v>
      </c>
      <c r="N32" s="569"/>
      <c r="O32" s="557"/>
      <c r="P32" s="568"/>
      <c r="Q32" s="567"/>
      <c r="R32" s="566"/>
      <c r="S32" s="561"/>
      <c r="T32" s="561"/>
      <c r="U32" s="561"/>
      <c r="V32" s="561"/>
      <c r="W32" s="566"/>
      <c r="X32" s="565"/>
      <c r="Y32" s="562"/>
      <c r="Z32" s="564"/>
      <c r="AA32" s="563">
        <f t="shared" si="6"/>
        <v>0</v>
      </c>
      <c r="AB32" s="562"/>
      <c r="AC32" s="562"/>
      <c r="AD32" s="561"/>
      <c r="AE32" s="561"/>
      <c r="AF32" s="560"/>
      <c r="AG32" s="559"/>
      <c r="AH32" s="558"/>
      <c r="AI32" s="558"/>
    </row>
    <row r="33" spans="1:36" ht="43.5" x14ac:dyDescent="0.35">
      <c r="A33" s="537" t="s">
        <v>1378</v>
      </c>
      <c r="B33" s="536" t="s">
        <v>1411</v>
      </c>
      <c r="C33" s="536" t="s">
        <v>1412</v>
      </c>
      <c r="D33" s="574" t="s">
        <v>1099</v>
      </c>
      <c r="E33" s="573" t="s">
        <v>1101</v>
      </c>
      <c r="F33" s="572" t="e">
        <v>#VALUE!</v>
      </c>
      <c r="G33" s="571">
        <v>180</v>
      </c>
      <c r="H33" s="571"/>
      <c r="I33" s="571">
        <v>190</v>
      </c>
      <c r="J33" s="571">
        <v>0</v>
      </c>
      <c r="K33" s="571">
        <v>0</v>
      </c>
      <c r="L33" s="570">
        <f>0.833333333333333*7</f>
        <v>5.8333333333333313</v>
      </c>
      <c r="M33" s="570" t="e">
        <f t="shared" si="5"/>
        <v>#VALUE!</v>
      </c>
      <c r="N33" s="569">
        <v>15.42</v>
      </c>
      <c r="O33" s="557"/>
      <c r="P33" s="568"/>
      <c r="Q33" s="567"/>
      <c r="R33" s="566">
        <f t="shared" ref="R33:R39" si="7">(((G33/12)*5+(I33/12)*7)*$R$4)+(((J33/12)*4+(K33/12)*8)*$R$4)</f>
        <v>1858333.3333333335</v>
      </c>
      <c r="S33" s="561" t="e">
        <v>#VALUE!</v>
      </c>
      <c r="T33" s="561">
        <v>38529.16666666665</v>
      </c>
      <c r="U33" s="561" t="e">
        <v>#VALUE!</v>
      </c>
      <c r="V33" s="561">
        <v>815170.40541561728</v>
      </c>
      <c r="W33" s="566"/>
      <c r="X33" s="565"/>
      <c r="Y33" s="562">
        <v>1002570.8333333333</v>
      </c>
      <c r="Z33" s="564"/>
      <c r="AA33" s="563" t="e">
        <f t="shared" si="6"/>
        <v>#VALUE!</v>
      </c>
      <c r="AB33" s="562">
        <v>101849.1</v>
      </c>
      <c r="AC33" s="562"/>
      <c r="AD33" s="561" t="e">
        <v>#VALUE!</v>
      </c>
      <c r="AE33" s="561"/>
      <c r="AF33" s="560"/>
      <c r="AG33" s="559">
        <v>16618.267103274542</v>
      </c>
      <c r="AH33" s="558" t="e">
        <f>(S33+R33+T33+Y33+AB33)/(((G33/12)*5)+((I33/12)*7)+((J33/12)*4)+((K33/12)*8)+M33)</f>
        <v>#VALUE!</v>
      </c>
      <c r="AI33" s="558" t="e">
        <f t="shared" ref="AI33:AI38" si="8">AH33-AG33</f>
        <v>#VALUE!</v>
      </c>
      <c r="AJ33" s="536" t="s">
        <v>1380</v>
      </c>
    </row>
    <row r="34" spans="1:36" ht="43.5" x14ac:dyDescent="0.35">
      <c r="A34" s="537" t="s">
        <v>1379</v>
      </c>
      <c r="B34" s="536" t="s">
        <v>1411</v>
      </c>
      <c r="C34" s="536" t="s">
        <v>1412</v>
      </c>
      <c r="D34" s="574" t="s">
        <v>1099</v>
      </c>
      <c r="E34" s="573" t="s">
        <v>1102</v>
      </c>
      <c r="F34" s="572" t="e">
        <v>#VALUE!</v>
      </c>
      <c r="G34" s="571">
        <v>160</v>
      </c>
      <c r="H34" s="571"/>
      <c r="I34" s="571">
        <v>145</v>
      </c>
      <c r="J34" s="571">
        <v>0</v>
      </c>
      <c r="K34" s="571">
        <v>0</v>
      </c>
      <c r="L34" s="570">
        <v>26</v>
      </c>
      <c r="M34" s="570" t="e">
        <f t="shared" si="5"/>
        <v>#VALUE!</v>
      </c>
      <c r="N34" s="569">
        <v>12.08</v>
      </c>
      <c r="O34" s="557"/>
      <c r="P34" s="568"/>
      <c r="Q34" s="567"/>
      <c r="R34" s="566">
        <f t="shared" si="7"/>
        <v>1512500</v>
      </c>
      <c r="S34" s="561" t="e">
        <v>#VALUE!</v>
      </c>
      <c r="T34" s="561">
        <v>290628</v>
      </c>
      <c r="U34" s="561" t="e">
        <v>#VALUE!</v>
      </c>
      <c r="V34" s="561">
        <v>643354.7321138212</v>
      </c>
      <c r="W34" s="566"/>
      <c r="X34" s="565"/>
      <c r="Y34" s="562"/>
      <c r="Z34" s="564"/>
      <c r="AA34" s="563" t="e">
        <f t="shared" si="6"/>
        <v>#VALUE!</v>
      </c>
      <c r="AB34" s="562">
        <v>135030.24</v>
      </c>
      <c r="AC34" s="562"/>
      <c r="AD34" s="561" t="e">
        <v>#VALUE!</v>
      </c>
      <c r="AE34" s="561"/>
      <c r="AF34" s="560"/>
      <c r="AG34" s="559">
        <v>21201.001040650379</v>
      </c>
      <c r="AH34" s="558" t="e">
        <f>(S34+R34+T34+Y34+AB34)/(((G34/12)*5)+((I34/12)*7)+((J34/12)*4)+((K34/12)*8)+M34)</f>
        <v>#VALUE!</v>
      </c>
      <c r="AI34" s="558" t="e">
        <f t="shared" si="8"/>
        <v>#VALUE!</v>
      </c>
    </row>
    <row r="35" spans="1:36" ht="43.5" x14ac:dyDescent="0.35">
      <c r="A35" s="537" t="s">
        <v>1379</v>
      </c>
      <c r="B35" s="536" t="s">
        <v>1411</v>
      </c>
      <c r="C35" s="536" t="s">
        <v>1412</v>
      </c>
      <c r="D35" s="574" t="s">
        <v>1099</v>
      </c>
      <c r="E35" s="573" t="s">
        <v>1103</v>
      </c>
      <c r="F35" s="572" t="e">
        <v>#VALUE!</v>
      </c>
      <c r="G35" s="571">
        <v>198</v>
      </c>
      <c r="H35" s="571"/>
      <c r="I35" s="571">
        <v>190</v>
      </c>
      <c r="J35" s="571">
        <v>50</v>
      </c>
      <c r="K35" s="571">
        <v>58</v>
      </c>
      <c r="L35" s="570">
        <v>27</v>
      </c>
      <c r="M35" s="570" t="e">
        <f t="shared" si="5"/>
        <v>#VALUE!</v>
      </c>
      <c r="N35" s="569">
        <v>10</v>
      </c>
      <c r="O35" s="557"/>
      <c r="P35" s="568"/>
      <c r="Q35" s="567"/>
      <c r="R35" s="566">
        <f t="shared" si="7"/>
        <v>2486666.666666667</v>
      </c>
      <c r="S35" s="561" t="e">
        <v>#VALUE!</v>
      </c>
      <c r="T35" s="561">
        <v>300261</v>
      </c>
      <c r="U35" s="561" t="e">
        <v>#VALUE!</v>
      </c>
      <c r="V35" s="561">
        <v>1103749.3928286855</v>
      </c>
      <c r="W35" s="566"/>
      <c r="X35" s="566">
        <v>94219</v>
      </c>
      <c r="Y35" s="562"/>
      <c r="Z35" s="564"/>
      <c r="AA35" s="563" t="e">
        <f t="shared" si="6"/>
        <v>#VALUE!</v>
      </c>
      <c r="AB35" s="562">
        <v>91450</v>
      </c>
      <c r="AC35" s="562"/>
      <c r="AD35" s="561" t="e">
        <v>#VALUE!</v>
      </c>
      <c r="AE35" s="561"/>
      <c r="AF35" s="560"/>
      <c r="AG35" s="559">
        <v>19167.628073993503</v>
      </c>
      <c r="AH35" s="558" t="e">
        <f>(S35+R35+T35+Y35+AB35)/(((G35/12)*5)+((I35/12)*7)+((J35/12)*4)+((K35/12)*8)+M35)</f>
        <v>#VALUE!</v>
      </c>
      <c r="AI35" s="558" t="e">
        <f t="shared" si="8"/>
        <v>#VALUE!</v>
      </c>
    </row>
    <row r="36" spans="1:36" ht="43.5" x14ac:dyDescent="0.35">
      <c r="A36" s="537" t="s">
        <v>1378</v>
      </c>
      <c r="B36" s="536" t="s">
        <v>1064</v>
      </c>
      <c r="C36" s="536" t="s">
        <v>1412</v>
      </c>
      <c r="D36" s="574" t="s">
        <v>1099</v>
      </c>
      <c r="E36" s="573" t="s">
        <v>266</v>
      </c>
      <c r="F36" s="572" t="e">
        <v>#VALUE!</v>
      </c>
      <c r="G36" s="571">
        <v>140</v>
      </c>
      <c r="H36" s="571"/>
      <c r="I36" s="571">
        <v>140</v>
      </c>
      <c r="J36" s="571">
        <v>40</v>
      </c>
      <c r="K36" s="571">
        <v>40</v>
      </c>
      <c r="L36" s="570">
        <v>14</v>
      </c>
      <c r="M36" s="570" t="e">
        <f t="shared" si="5"/>
        <v>#VALUE!</v>
      </c>
      <c r="N36" s="569"/>
      <c r="O36" s="557"/>
      <c r="P36" s="568"/>
      <c r="Q36" s="567"/>
      <c r="R36" s="566">
        <f t="shared" si="7"/>
        <v>1800000</v>
      </c>
      <c r="S36" s="561" t="e">
        <v>#VALUE!</v>
      </c>
      <c r="T36" s="561">
        <v>252294</v>
      </c>
      <c r="U36" s="561" t="e">
        <v>#VALUE!</v>
      </c>
      <c r="V36" s="561">
        <v>741164.01702127664</v>
      </c>
      <c r="W36" s="566"/>
      <c r="X36" s="565"/>
      <c r="Y36" s="562"/>
      <c r="Z36" s="564"/>
      <c r="AA36" s="563" t="e">
        <f t="shared" si="6"/>
        <v>#VALUE!</v>
      </c>
      <c r="AB36" s="562">
        <v>0</v>
      </c>
      <c r="AC36" s="562"/>
      <c r="AD36" s="561" t="e">
        <v>#VALUE!</v>
      </c>
      <c r="AE36" s="561" t="e">
        <v>#VALUE!</v>
      </c>
      <c r="AF36" s="560"/>
      <c r="AG36" s="559">
        <v>28057.345388888847</v>
      </c>
      <c r="AH36" s="558" t="e">
        <f>(S36+R36+T36+Y36+AB36)/(((G36/12)*5)+((I36/12)*7)+((J36/12)*4)+((K36/12)*8)+M36)</f>
        <v>#VALUE!</v>
      </c>
      <c r="AI36" s="558" t="e">
        <f t="shared" si="8"/>
        <v>#VALUE!</v>
      </c>
    </row>
    <row r="37" spans="1:36" x14ac:dyDescent="0.35">
      <c r="D37" s="574" t="s">
        <v>1099</v>
      </c>
      <c r="E37" s="573" t="s">
        <v>1370</v>
      </c>
      <c r="F37" s="572"/>
      <c r="G37" s="571">
        <v>90</v>
      </c>
      <c r="H37" s="571"/>
      <c r="I37" s="571">
        <v>90</v>
      </c>
      <c r="J37" s="571"/>
      <c r="K37" s="571"/>
      <c r="L37" s="570">
        <f>IF(+H37/12*5+G37/12*5+I37/12*7+J37/12*4+K37/12*8-F37-N37&gt;0,++H37/12*5+G37/12*5+I37/12*7+J37/12*4+K37/12*8-F37-N37,0)</f>
        <v>90</v>
      </c>
      <c r="M37" s="570"/>
      <c r="N37" s="569"/>
      <c r="O37" s="557"/>
      <c r="P37" s="568"/>
      <c r="Q37" s="567"/>
      <c r="R37" s="566">
        <f t="shared" si="7"/>
        <v>900000</v>
      </c>
      <c r="S37" s="561" t="e">
        <v>#VALUE!</v>
      </c>
      <c r="T37" s="561">
        <v>1434171.25</v>
      </c>
      <c r="U37" s="561" t="e">
        <v>#VALUE!</v>
      </c>
      <c r="V37" s="561">
        <v>364320</v>
      </c>
      <c r="W37" s="566"/>
      <c r="X37" s="565"/>
      <c r="Y37" s="562"/>
      <c r="Z37" s="564"/>
      <c r="AA37" s="563" t="e">
        <f t="shared" si="6"/>
        <v>#VALUE!</v>
      </c>
      <c r="AB37" s="562">
        <v>0</v>
      </c>
      <c r="AC37" s="562"/>
      <c r="AD37" s="561">
        <v>0</v>
      </c>
      <c r="AE37" s="561">
        <v>0</v>
      </c>
      <c r="AF37" s="560"/>
      <c r="AG37" s="559">
        <v>28057.345388888847</v>
      </c>
      <c r="AH37" s="558" t="e">
        <f>(S37+R37+T37+Y37+AB37)/(((G37/12)*5)+((I37/12)*7)+((J37/12)*4)+((K37/12)*8)+M37)</f>
        <v>#VALUE!</v>
      </c>
      <c r="AI37" s="558" t="e">
        <f t="shared" si="8"/>
        <v>#VALUE!</v>
      </c>
    </row>
    <row r="38" spans="1:36" x14ac:dyDescent="0.35">
      <c r="C38" s="536" t="s">
        <v>1104</v>
      </c>
      <c r="D38" s="574" t="s">
        <v>1105</v>
      </c>
      <c r="E38" s="573" t="s">
        <v>1377</v>
      </c>
      <c r="F38" s="572">
        <v>100</v>
      </c>
      <c r="G38" s="571">
        <v>100</v>
      </c>
      <c r="H38" s="571"/>
      <c r="I38" s="571">
        <v>100</v>
      </c>
      <c r="J38" s="571"/>
      <c r="K38" s="571"/>
      <c r="L38" s="570">
        <f>IF(+H38/12*5+G38/12*5+I38/12*7+J38/12*4+K38/12*8-F38-N38&gt;0,++H38/12*5+G38/12*5+I38/12*7+J38/12*4+K38/12*8-F38-N38,0)</f>
        <v>0</v>
      </c>
      <c r="M38" s="570"/>
      <c r="N38" s="569"/>
      <c r="O38" s="557"/>
      <c r="P38" s="568"/>
      <c r="Q38" s="567"/>
      <c r="R38" s="566">
        <f t="shared" si="7"/>
        <v>1000000</v>
      </c>
      <c r="S38" s="561">
        <v>1665400</v>
      </c>
      <c r="T38" s="561"/>
      <c r="U38" s="561"/>
      <c r="V38" s="561">
        <v>446231.00000000006</v>
      </c>
      <c r="W38" s="566"/>
      <c r="X38" s="565"/>
      <c r="Y38" s="562"/>
      <c r="Z38" s="564"/>
      <c r="AA38" s="563">
        <f t="shared" si="6"/>
        <v>3111631</v>
      </c>
      <c r="AB38" s="562"/>
      <c r="AC38" s="562"/>
      <c r="AD38" s="561"/>
      <c r="AE38" s="561"/>
      <c r="AF38" s="560"/>
      <c r="AG38" s="559"/>
      <c r="AH38" s="558"/>
      <c r="AI38" s="558">
        <f t="shared" si="8"/>
        <v>0</v>
      </c>
    </row>
    <row r="39" spans="1:36" x14ac:dyDescent="0.35">
      <c r="C39" s="536" t="s">
        <v>1104</v>
      </c>
      <c r="D39" s="574" t="s">
        <v>1106</v>
      </c>
      <c r="E39" s="573" t="s">
        <v>1107</v>
      </c>
      <c r="F39" s="572"/>
      <c r="G39" s="571">
        <v>10</v>
      </c>
      <c r="H39" s="571"/>
      <c r="I39" s="571">
        <v>0</v>
      </c>
      <c r="J39" s="571"/>
      <c r="K39" s="571"/>
      <c r="L39" s="570">
        <f>IF(+H39/12*5+G39/12*5+I39/12*7+J39/12*4+K39/12*8-F39&gt;0,++H39/12*5+G39/12*5+I39/12*7+J39/12*4+K39/12*8-F39,0)</f>
        <v>4.166666666666667</v>
      </c>
      <c r="M39" s="570"/>
      <c r="N39" s="569"/>
      <c r="O39" s="557"/>
      <c r="P39" s="568"/>
      <c r="Q39" s="567"/>
      <c r="R39" s="566">
        <f t="shared" si="7"/>
        <v>41666.666666666672</v>
      </c>
      <c r="S39" s="561"/>
      <c r="T39" s="561">
        <f>L39*5000</f>
        <v>20833.333333333336</v>
      </c>
      <c r="U39" s="561"/>
      <c r="V39" s="561">
        <v>235181.44</v>
      </c>
      <c r="W39" s="566"/>
      <c r="X39" s="565"/>
      <c r="Y39" s="562"/>
      <c r="Z39" s="564"/>
      <c r="AA39" s="563">
        <f t="shared" si="6"/>
        <v>297681.44</v>
      </c>
      <c r="AB39" s="562"/>
      <c r="AC39" s="562"/>
      <c r="AD39" s="561"/>
      <c r="AE39" s="561"/>
      <c r="AF39" s="560"/>
      <c r="AG39" s="559"/>
      <c r="AH39" s="558"/>
      <c r="AI39" s="558"/>
    </row>
    <row r="40" spans="1:36" ht="8.15" customHeight="1" thickBot="1" x14ac:dyDescent="0.4">
      <c r="O40" s="557"/>
      <c r="P40" s="544"/>
      <c r="Q40" s="544"/>
      <c r="R40" s="544"/>
      <c r="S40" s="544"/>
      <c r="T40" s="544"/>
      <c r="U40" s="544"/>
      <c r="V40" s="544"/>
      <c r="W40" s="544"/>
      <c r="X40" s="544"/>
      <c r="Y40" s="544"/>
      <c r="Z40" s="544"/>
      <c r="AA40" s="544"/>
      <c r="AB40" s="544"/>
      <c r="AC40" s="544"/>
      <c r="AD40" s="544"/>
      <c r="AE40" s="544"/>
      <c r="AH40" s="538"/>
      <c r="AI40" s="538"/>
    </row>
    <row r="41" spans="1:36" s="547" customFormat="1" ht="16" thickBot="1" x14ac:dyDescent="0.4">
      <c r="A41" s="556"/>
      <c r="E41" s="555" t="s">
        <v>195</v>
      </c>
      <c r="F41" s="554" t="e">
        <f>SUM(F5:F39)</f>
        <v>#VALUE!</v>
      </c>
      <c r="G41" s="552">
        <f>SUM(G5:G39)</f>
        <v>1362</v>
      </c>
      <c r="H41" s="552"/>
      <c r="I41" s="552">
        <f>SUM(I5:I39)</f>
        <v>1347</v>
      </c>
      <c r="J41" s="552">
        <f>SUM(J5:J39)</f>
        <v>810</v>
      </c>
      <c r="K41" s="552">
        <f>SUM(K5:K39)</f>
        <v>957</v>
      </c>
      <c r="L41" s="553" t="e">
        <f>SUM(L5:L39)</f>
        <v>#VALUE!</v>
      </c>
      <c r="M41" s="553" t="e">
        <f>SUM(M5:M39)</f>
        <v>#VALUE!</v>
      </c>
      <c r="N41" s="552">
        <f>SUM(N5:N36)</f>
        <v>140.15</v>
      </c>
      <c r="O41" s="551"/>
      <c r="P41" s="541" t="e">
        <f t="shared" ref="P41:AA41" si="9">SUM(P5:P39)</f>
        <v>#VALUE!</v>
      </c>
      <c r="Q41" s="541">
        <f t="shared" si="9"/>
        <v>1470500</v>
      </c>
      <c r="R41" s="541">
        <f t="shared" si="9"/>
        <v>12390000</v>
      </c>
      <c r="S41" s="541" t="e">
        <f t="shared" si="9"/>
        <v>#VALUE!</v>
      </c>
      <c r="T41" s="541" t="e">
        <f t="shared" si="9"/>
        <v>#VALUE!</v>
      </c>
      <c r="U41" s="541" t="e">
        <f t="shared" si="9"/>
        <v>#VALUE!</v>
      </c>
      <c r="V41" s="541">
        <f t="shared" si="9"/>
        <v>5759266.5807108069</v>
      </c>
      <c r="W41" s="541">
        <f t="shared" si="9"/>
        <v>0</v>
      </c>
      <c r="X41" s="541">
        <f t="shared" si="9"/>
        <v>94219</v>
      </c>
      <c r="Y41" s="541">
        <f t="shared" si="9"/>
        <v>1180671.8333333333</v>
      </c>
      <c r="Z41" s="541">
        <f t="shared" si="9"/>
        <v>4448000</v>
      </c>
      <c r="AA41" s="550" t="e">
        <f t="shared" si="9"/>
        <v>#VALUE!</v>
      </c>
      <c r="AB41" s="549"/>
      <c r="AC41" s="549"/>
      <c r="AD41" s="541"/>
      <c r="AE41" s="541"/>
      <c r="AF41" s="548"/>
      <c r="AG41" s="548"/>
    </row>
    <row r="42" spans="1:36" x14ac:dyDescent="0.35">
      <c r="F42" s="546" t="e">
        <v>#VALUE!</v>
      </c>
      <c r="S42" s="543" t="e">
        <v>#VALUE!</v>
      </c>
      <c r="T42" s="545"/>
      <c r="U42" s="544" t="e">
        <v>#VALUE!</v>
      </c>
      <c r="AF42" s="543"/>
      <c r="AG42" s="543"/>
    </row>
    <row r="43" spans="1:36" ht="15" thickBot="1" x14ac:dyDescent="0.4">
      <c r="H43" s="540"/>
      <c r="I43" s="540"/>
      <c r="S43" s="540"/>
      <c r="AF43" s="540"/>
      <c r="AG43" s="540"/>
    </row>
    <row r="44" spans="1:36" ht="16" thickBot="1" x14ac:dyDescent="0.4">
      <c r="G44" s="540">
        <f>SUM(G30:G37,J30:J37)</f>
        <v>1127</v>
      </c>
      <c r="I44" s="540"/>
      <c r="V44" s="542" t="s">
        <v>1376</v>
      </c>
      <c r="W44" s="541">
        <v>3243072</v>
      </c>
      <c r="X44" s="541">
        <v>94325</v>
      </c>
    </row>
    <row r="45" spans="1:36" ht="16" thickBot="1" x14ac:dyDescent="0.4">
      <c r="G45" s="540">
        <f>SUM(I30:I37,K30:K37)</f>
        <v>1136</v>
      </c>
      <c r="S45" s="540"/>
      <c r="V45" s="542" t="s">
        <v>1375</v>
      </c>
      <c r="W45" s="541">
        <f>+W44-W47</f>
        <v>-673100</v>
      </c>
      <c r="X45" s="541">
        <f>+X44-X47</f>
        <v>-57089.079999999987</v>
      </c>
    </row>
    <row r="46" spans="1:36" x14ac:dyDescent="0.35">
      <c r="G46" s="540">
        <f>+G44-G45</f>
        <v>-9</v>
      </c>
      <c r="S46" s="540"/>
    </row>
    <row r="47" spans="1:36" x14ac:dyDescent="0.35">
      <c r="V47" s="536" t="s">
        <v>1374</v>
      </c>
      <c r="W47" s="536">
        <v>3916172</v>
      </c>
      <c r="X47" s="539">
        <v>151414.07999999999</v>
      </c>
    </row>
    <row r="48" spans="1:36" x14ac:dyDescent="0.35">
      <c r="V48" s="536" t="s">
        <v>1373</v>
      </c>
      <c r="W48" s="536">
        <f>608157+2390636+403071</f>
        <v>3401864</v>
      </c>
    </row>
    <row r="49" spans="22:23" x14ac:dyDescent="0.35">
      <c r="V49" s="536" t="s">
        <v>1372</v>
      </c>
      <c r="W49" s="536">
        <v>757295</v>
      </c>
    </row>
    <row r="50" spans="22:23" x14ac:dyDescent="0.35">
      <c r="V50" s="536" t="s">
        <v>1371</v>
      </c>
      <c r="W50" s="536">
        <v>875478.97250000003</v>
      </c>
    </row>
  </sheetData>
  <autoFilter ref="A3:AK36" xr:uid="{68A644D1-D3E9-4BD9-90A5-ED425FA181B1}"/>
  <mergeCells count="5">
    <mergeCell ref="A1:A2"/>
    <mergeCell ref="F1:N1"/>
    <mergeCell ref="G2:I2"/>
    <mergeCell ref="J2:K2"/>
    <mergeCell ref="P2:Q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2C53-69DA-4F9C-AB7B-371FA64206AE}">
  <sheetPr codeName="Sheet7">
    <tabColor rgb="FF7030A0"/>
  </sheetPr>
  <dimension ref="A1:EV100"/>
  <sheetViews>
    <sheetView workbookViewId="0">
      <pane xSplit="3" ySplit="8" topLeftCell="BS17" activePane="bottomRight" state="frozen"/>
      <selection pane="topRight" activeCell="D1" sqref="D1"/>
      <selection pane="bottomLeft" activeCell="A9" sqref="A9"/>
      <selection pane="bottomRight" activeCell="BU18" sqref="BU18"/>
    </sheetView>
  </sheetViews>
  <sheetFormatPr defaultColWidth="9.1796875" defaultRowHeight="12.5" x14ac:dyDescent="0.25"/>
  <cols>
    <col min="1" max="1" width="10.81640625" style="2" customWidth="1"/>
    <col min="2" max="2" width="10.81640625" style="8" customWidth="1"/>
    <col min="3" max="3" width="56.54296875" style="2" bestFit="1" customWidth="1"/>
    <col min="4" max="4" width="10.81640625" style="2" customWidth="1"/>
    <col min="5" max="70" width="15.54296875" style="8" customWidth="1"/>
    <col min="71" max="71" width="18.54296875" style="655" customWidth="1"/>
    <col min="72" max="75" width="15.54296875" style="8" customWidth="1"/>
    <col min="76" max="76" width="15.54296875" style="660" customWidth="1"/>
    <col min="77" max="77" width="12.90625" style="2" customWidth="1"/>
    <col min="78" max="78" width="14.81640625" style="2" bestFit="1" customWidth="1"/>
    <col min="79" max="79" width="9.1796875" style="667"/>
    <col min="80" max="16384" width="9.1796875" style="2"/>
  </cols>
  <sheetData>
    <row r="1" spans="1:152" x14ac:dyDescent="0.25">
      <c r="E1" s="43"/>
      <c r="F1" s="43"/>
      <c r="G1" s="43"/>
      <c r="H1" s="43"/>
      <c r="I1" s="43"/>
      <c r="J1" s="43"/>
      <c r="K1" s="43"/>
      <c r="L1" s="43"/>
      <c r="M1" s="43"/>
      <c r="N1" s="43"/>
      <c r="O1" s="43"/>
      <c r="P1" s="43"/>
    </row>
    <row r="2" spans="1:152" x14ac:dyDescent="0.25">
      <c r="C2" s="2" t="s">
        <v>1153</v>
      </c>
      <c r="E2" s="43"/>
      <c r="F2" s="43"/>
      <c r="G2" s="43"/>
    </row>
    <row r="3" spans="1:152" x14ac:dyDescent="0.25">
      <c r="C3" s="7"/>
      <c r="E3" s="14"/>
      <c r="F3" s="14"/>
      <c r="G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656"/>
      <c r="BT3" s="14"/>
      <c r="BU3" s="14"/>
      <c r="BV3" s="14"/>
      <c r="BW3" s="14"/>
      <c r="BX3" s="661"/>
    </row>
    <row r="6" spans="1:152" x14ac:dyDescent="0.25">
      <c r="A6" s="7">
        <v>1</v>
      </c>
      <c r="B6" s="14">
        <v>2</v>
      </c>
      <c r="C6" s="7">
        <v>3</v>
      </c>
      <c r="D6" s="7">
        <v>4</v>
      </c>
      <c r="E6" s="14">
        <v>5</v>
      </c>
      <c r="F6" s="7">
        <v>6</v>
      </c>
      <c r="G6" s="7">
        <v>7</v>
      </c>
      <c r="H6" s="14">
        <v>8</v>
      </c>
      <c r="I6" s="7">
        <v>9</v>
      </c>
      <c r="J6" s="7">
        <v>10</v>
      </c>
      <c r="K6" s="14">
        <v>11</v>
      </c>
      <c r="L6" s="7">
        <v>12</v>
      </c>
      <c r="M6" s="7">
        <v>13</v>
      </c>
      <c r="N6" s="14">
        <v>14</v>
      </c>
      <c r="O6" s="7">
        <v>15</v>
      </c>
      <c r="P6" s="7">
        <v>16</v>
      </c>
      <c r="Q6" s="14">
        <v>17</v>
      </c>
      <c r="R6" s="7">
        <v>18</v>
      </c>
      <c r="S6" s="7">
        <v>19</v>
      </c>
      <c r="T6" s="14">
        <v>20</v>
      </c>
      <c r="U6" s="7">
        <v>21</v>
      </c>
      <c r="V6" s="7">
        <v>22</v>
      </c>
      <c r="W6" s="14">
        <v>23</v>
      </c>
      <c r="X6" s="7">
        <v>24</v>
      </c>
      <c r="Y6" s="7">
        <v>25</v>
      </c>
      <c r="Z6" s="14">
        <v>26</v>
      </c>
      <c r="AA6" s="7">
        <v>27</v>
      </c>
      <c r="AB6" s="7">
        <v>28</v>
      </c>
      <c r="AC6" s="14">
        <v>29</v>
      </c>
      <c r="AD6" s="7">
        <v>30</v>
      </c>
      <c r="AE6" s="7">
        <v>31</v>
      </c>
      <c r="AF6" s="14">
        <v>32</v>
      </c>
      <c r="AG6" s="7">
        <v>33</v>
      </c>
      <c r="AH6" s="7">
        <v>34</v>
      </c>
      <c r="AI6" s="14">
        <v>35</v>
      </c>
      <c r="AJ6" s="7">
        <v>36</v>
      </c>
      <c r="AK6" s="7">
        <v>37</v>
      </c>
      <c r="AL6" s="14">
        <v>38</v>
      </c>
      <c r="AM6" s="7">
        <v>39</v>
      </c>
      <c r="AN6" s="7">
        <v>40</v>
      </c>
      <c r="AO6" s="14">
        <v>41</v>
      </c>
      <c r="AP6" s="7">
        <v>42</v>
      </c>
      <c r="AQ6" s="7">
        <v>43</v>
      </c>
      <c r="AR6" s="14">
        <v>44</v>
      </c>
      <c r="AS6" s="7">
        <v>45</v>
      </c>
      <c r="AT6" s="7">
        <v>46</v>
      </c>
      <c r="AU6" s="14">
        <v>47</v>
      </c>
      <c r="AV6" s="7">
        <v>48</v>
      </c>
      <c r="AW6" s="7">
        <v>49</v>
      </c>
      <c r="AX6" s="14">
        <v>50</v>
      </c>
      <c r="AY6" s="7">
        <v>51</v>
      </c>
      <c r="AZ6" s="7">
        <v>52</v>
      </c>
      <c r="BA6" s="14">
        <v>53</v>
      </c>
      <c r="BB6" s="7">
        <v>54</v>
      </c>
      <c r="BC6" s="7">
        <v>55</v>
      </c>
      <c r="BD6" s="14">
        <v>56</v>
      </c>
      <c r="BE6" s="7">
        <v>57</v>
      </c>
      <c r="BF6" s="7">
        <v>58</v>
      </c>
      <c r="BG6" s="14">
        <v>59</v>
      </c>
      <c r="BH6" s="7">
        <v>60</v>
      </c>
      <c r="BI6" s="7">
        <v>61</v>
      </c>
      <c r="BJ6" s="14">
        <v>62</v>
      </c>
      <c r="BK6" s="7">
        <v>63</v>
      </c>
      <c r="BL6" s="7">
        <v>64</v>
      </c>
      <c r="BM6" s="14">
        <v>65</v>
      </c>
      <c r="BN6" s="7">
        <v>66</v>
      </c>
      <c r="BO6" s="7">
        <v>67</v>
      </c>
      <c r="BP6" s="14">
        <v>68</v>
      </c>
      <c r="BQ6" s="7">
        <v>69</v>
      </c>
      <c r="BR6" s="7">
        <v>70</v>
      </c>
      <c r="BS6" s="656">
        <v>71</v>
      </c>
      <c r="BT6" s="7">
        <v>72</v>
      </c>
      <c r="BU6" s="7">
        <v>73</v>
      </c>
      <c r="BV6" s="14">
        <v>74</v>
      </c>
      <c r="BW6" s="7">
        <v>75</v>
      </c>
      <c r="BX6" s="662">
        <v>76</v>
      </c>
      <c r="BY6" s="8"/>
      <c r="CA6" s="668"/>
      <c r="CB6" s="8"/>
    </row>
    <row r="7" spans="1:152" ht="13" thickBot="1" x14ac:dyDescent="0.3">
      <c r="A7" s="7"/>
      <c r="B7" s="14"/>
      <c r="C7" s="7"/>
      <c r="D7" s="7"/>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656"/>
      <c r="BT7" s="14"/>
      <c r="BU7" s="14"/>
      <c r="BV7" s="14"/>
      <c r="BW7" s="14"/>
      <c r="BX7" s="661"/>
      <c r="BY7" s="8"/>
      <c r="CA7" s="668"/>
      <c r="CB7" s="8"/>
    </row>
    <row r="8" spans="1:152" s="7" customFormat="1" ht="105" customHeight="1" x14ac:dyDescent="0.25">
      <c r="A8" s="11" t="s">
        <v>268</v>
      </c>
      <c r="B8" s="18" t="s">
        <v>0</v>
      </c>
      <c r="C8" s="19" t="s">
        <v>1</v>
      </c>
      <c r="D8" s="11" t="s">
        <v>773</v>
      </c>
      <c r="E8" s="18" t="s">
        <v>774</v>
      </c>
      <c r="F8" s="18" t="s">
        <v>775</v>
      </c>
      <c r="G8" s="18" t="s">
        <v>269</v>
      </c>
      <c r="H8" s="18" t="s">
        <v>270</v>
      </c>
      <c r="I8" s="18" t="s">
        <v>271</v>
      </c>
      <c r="J8" s="18" t="s">
        <v>272</v>
      </c>
      <c r="K8" s="18" t="s">
        <v>273</v>
      </c>
      <c r="L8" s="18" t="s">
        <v>274</v>
      </c>
      <c r="M8" s="18" t="s">
        <v>275</v>
      </c>
      <c r="N8" s="18" t="s">
        <v>276</v>
      </c>
      <c r="O8" s="18" t="s">
        <v>277</v>
      </c>
      <c r="P8" s="18" t="s">
        <v>278</v>
      </c>
      <c r="Q8" s="18" t="s">
        <v>279</v>
      </c>
      <c r="R8" s="18" t="s">
        <v>280</v>
      </c>
      <c r="S8" s="18" t="s">
        <v>281</v>
      </c>
      <c r="T8" s="18" t="s">
        <v>282</v>
      </c>
      <c r="U8" s="18" t="s">
        <v>283</v>
      </c>
      <c r="V8" s="18" t="s">
        <v>284</v>
      </c>
      <c r="W8" s="18" t="s">
        <v>285</v>
      </c>
      <c r="X8" s="18" t="s">
        <v>286</v>
      </c>
      <c r="Y8" s="18" t="s">
        <v>287</v>
      </c>
      <c r="Z8" s="18" t="s">
        <v>288</v>
      </c>
      <c r="AA8" s="18" t="s">
        <v>289</v>
      </c>
      <c r="AB8" s="18" t="s">
        <v>290</v>
      </c>
      <c r="AC8" s="18" t="s">
        <v>291</v>
      </c>
      <c r="AD8" s="18" t="s">
        <v>292</v>
      </c>
      <c r="AE8" s="18" t="s">
        <v>293</v>
      </c>
      <c r="AF8" s="18" t="s">
        <v>294</v>
      </c>
      <c r="AG8" s="18" t="s">
        <v>295</v>
      </c>
      <c r="AH8" s="18" t="s">
        <v>4</v>
      </c>
      <c r="AI8" s="18" t="s">
        <v>296</v>
      </c>
      <c r="AJ8" s="18" t="s">
        <v>320</v>
      </c>
      <c r="AK8" s="18" t="s">
        <v>180</v>
      </c>
      <c r="AL8" s="18" t="s">
        <v>1314</v>
      </c>
      <c r="AM8" s="18" t="s">
        <v>1315</v>
      </c>
      <c r="AN8" s="18" t="s">
        <v>1316</v>
      </c>
      <c r="AO8" s="18" t="s">
        <v>1317</v>
      </c>
      <c r="AP8" s="18" t="s">
        <v>1318</v>
      </c>
      <c r="AQ8" s="18" t="s">
        <v>1319</v>
      </c>
      <c r="AR8" s="18" t="s">
        <v>1320</v>
      </c>
      <c r="AS8" s="18" t="s">
        <v>297</v>
      </c>
      <c r="AT8" s="18" t="s">
        <v>298</v>
      </c>
      <c r="AU8" s="18" t="s">
        <v>299</v>
      </c>
      <c r="AV8" s="18" t="s">
        <v>300</v>
      </c>
      <c r="AW8" s="18" t="s">
        <v>301</v>
      </c>
      <c r="AX8" s="18" t="s">
        <v>302</v>
      </c>
      <c r="AY8" s="18" t="s">
        <v>303</v>
      </c>
      <c r="AZ8" s="18" t="s">
        <v>304</v>
      </c>
      <c r="BA8" s="18" t="s">
        <v>305</v>
      </c>
      <c r="BB8" s="18" t="s">
        <v>306</v>
      </c>
      <c r="BC8" s="18" t="s">
        <v>307</v>
      </c>
      <c r="BD8" s="18" t="s">
        <v>308</v>
      </c>
      <c r="BE8" s="18" t="s">
        <v>309</v>
      </c>
      <c r="BF8" s="18" t="s">
        <v>1321</v>
      </c>
      <c r="BG8" s="18" t="s">
        <v>310</v>
      </c>
      <c r="BH8" s="18" t="s">
        <v>1322</v>
      </c>
      <c r="BI8" s="18" t="s">
        <v>1323</v>
      </c>
      <c r="BJ8" s="18" t="s">
        <v>776</v>
      </c>
      <c r="BK8" s="18" t="s">
        <v>311</v>
      </c>
      <c r="BL8" s="18" t="s">
        <v>312</v>
      </c>
      <c r="BM8" s="18" t="s">
        <v>1324</v>
      </c>
      <c r="BN8" s="18" t="s">
        <v>1325</v>
      </c>
      <c r="BO8" s="18" t="s">
        <v>313</v>
      </c>
      <c r="BP8" s="20" t="s">
        <v>314</v>
      </c>
      <c r="BQ8" s="21" t="s">
        <v>1326</v>
      </c>
      <c r="BR8" s="22" t="s">
        <v>315</v>
      </c>
      <c r="BS8" s="657" t="s">
        <v>316</v>
      </c>
      <c r="BT8" s="18" t="s">
        <v>317</v>
      </c>
      <c r="BU8" s="18" t="s">
        <v>318</v>
      </c>
      <c r="BV8" s="18" t="s">
        <v>319</v>
      </c>
      <c r="BW8" s="18" t="s">
        <v>1327</v>
      </c>
      <c r="BX8" s="663" t="s">
        <v>1328</v>
      </c>
      <c r="BY8" s="2" t="s">
        <v>1406</v>
      </c>
      <c r="CA8" s="669"/>
    </row>
    <row r="9" spans="1:152" s="436" customFormat="1" ht="12.75" customHeight="1" x14ac:dyDescent="0.35">
      <c r="A9" s="436" t="s">
        <v>1153</v>
      </c>
      <c r="B9" s="436" t="s">
        <v>1153</v>
      </c>
      <c r="C9" s="441" t="s">
        <v>751</v>
      </c>
      <c r="D9" s="436">
        <v>40628.25</v>
      </c>
      <c r="E9" s="437">
        <v>22996.75</v>
      </c>
      <c r="F9" s="437">
        <v>17631.5</v>
      </c>
      <c r="G9" s="437">
        <v>93458792</v>
      </c>
      <c r="H9" s="438">
        <v>60612286.166666664</v>
      </c>
      <c r="I9" s="438">
        <v>44687849.166666672</v>
      </c>
      <c r="J9" s="438">
        <v>4353983.3792994944</v>
      </c>
      <c r="K9" s="438">
        <v>3341955.7294117608</v>
      </c>
      <c r="L9" s="438">
        <v>10608976.611786908</v>
      </c>
      <c r="M9" s="438">
        <v>12382593.882352928</v>
      </c>
      <c r="N9" s="438">
        <v>638005.10464552406</v>
      </c>
      <c r="O9" s="438">
        <v>953380.23807794228</v>
      </c>
      <c r="P9" s="438">
        <v>873005.40589052776</v>
      </c>
      <c r="Q9" s="438">
        <v>1152452.1271929736</v>
      </c>
      <c r="R9" s="438">
        <v>1023608.8846036545</v>
      </c>
      <c r="S9" s="438">
        <v>989338.09265837935</v>
      </c>
      <c r="T9" s="438">
        <v>686508.95232666703</v>
      </c>
      <c r="U9" s="438">
        <v>979250.39628279698</v>
      </c>
      <c r="V9" s="438">
        <v>885787.68647643528</v>
      </c>
      <c r="W9" s="438">
        <v>1154933.3335953148</v>
      </c>
      <c r="X9" s="438">
        <v>1106101.964711393</v>
      </c>
      <c r="Y9" s="438">
        <v>1031106.7243039766</v>
      </c>
      <c r="Z9" s="438">
        <v>3147724.9832706773</v>
      </c>
      <c r="AA9" s="438">
        <v>1350211.5506022596</v>
      </c>
      <c r="AB9" s="438">
        <v>9796740.9035939053</v>
      </c>
      <c r="AC9" s="438">
        <v>7916013.8335168725</v>
      </c>
      <c r="AD9" s="438">
        <v>467512.9074837105</v>
      </c>
      <c r="AE9" s="438">
        <v>170235.12126790808</v>
      </c>
      <c r="AF9" s="438">
        <v>13743000</v>
      </c>
      <c r="AG9" s="438">
        <v>0</v>
      </c>
      <c r="AH9" s="438">
        <v>0</v>
      </c>
      <c r="AI9" s="438">
        <v>0</v>
      </c>
      <c r="AJ9" s="438">
        <v>1720832.33</v>
      </c>
      <c r="AK9" s="438">
        <v>1379104</v>
      </c>
      <c r="AL9" s="438">
        <v>0</v>
      </c>
      <c r="AM9" s="438">
        <v>0</v>
      </c>
      <c r="AN9" s="438">
        <v>0</v>
      </c>
      <c r="AO9" s="438">
        <v>0</v>
      </c>
      <c r="AP9" s="438">
        <v>0</v>
      </c>
      <c r="AQ9" s="438">
        <v>0</v>
      </c>
      <c r="AR9" s="438">
        <v>0</v>
      </c>
      <c r="AS9" s="438">
        <v>198758927.33333334</v>
      </c>
      <c r="AT9" s="438">
        <v>65009427.813351996</v>
      </c>
      <c r="AU9" s="438">
        <v>16842936.330000002</v>
      </c>
      <c r="AV9" s="438">
        <v>44495674.287699133</v>
      </c>
      <c r="AW9" s="438">
        <v>280611291.47668529</v>
      </c>
      <c r="AX9" s="438">
        <v>277511355.14668536</v>
      </c>
      <c r="AY9" s="438"/>
      <c r="AZ9" s="436">
        <v>234105266.91666666</v>
      </c>
      <c r="BA9" s="439">
        <v>401623.01439893176</v>
      </c>
      <c r="BB9" s="438">
        <v>0</v>
      </c>
      <c r="BC9" s="438">
        <v>281012914.49108422</v>
      </c>
      <c r="BD9" s="438">
        <v>140641615.10682812</v>
      </c>
      <c r="BE9" s="438">
        <v>140371299.38425612</v>
      </c>
      <c r="BF9" s="438">
        <v>237205203.24666664</v>
      </c>
      <c r="BG9" s="438"/>
      <c r="BH9" s="439">
        <v>264169978.16108426</v>
      </c>
      <c r="BI9" s="438">
        <v>534658.03322688246</v>
      </c>
      <c r="BJ9" s="438">
        <v>514103.92261553585</v>
      </c>
      <c r="BK9" s="438"/>
      <c r="BL9" s="439"/>
      <c r="BM9" s="439">
        <v>-3638068.3689092053</v>
      </c>
      <c r="BN9" s="438">
        <v>277374846.12217498</v>
      </c>
      <c r="BO9" s="438"/>
      <c r="BP9" s="439"/>
      <c r="BQ9" s="439"/>
      <c r="BR9" s="439"/>
      <c r="BS9" s="658">
        <v>-897327.43499999982</v>
      </c>
      <c r="BT9" s="438">
        <v>276477518.68717498</v>
      </c>
      <c r="BU9" s="438">
        <v>0</v>
      </c>
      <c r="BV9" s="438">
        <v>276477518.68717498</v>
      </c>
      <c r="BW9" s="438">
        <v>1720832.33</v>
      </c>
      <c r="BX9" s="664">
        <v>274756686.35717499</v>
      </c>
      <c r="BY9" s="673"/>
      <c r="BZ9" s="380">
        <v>274756686.35717499</v>
      </c>
      <c r="CA9" s="380">
        <f t="shared" ref="CA9:CA40" si="0">+BZ9-BX9</f>
        <v>0</v>
      </c>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s="440"/>
      <c r="EV9" s="440"/>
    </row>
    <row r="10" spans="1:152" ht="14.5" x14ac:dyDescent="0.35">
      <c r="A10" s="430">
        <v>131401</v>
      </c>
      <c r="B10" s="430">
        <v>8312001</v>
      </c>
      <c r="C10" s="431" t="s">
        <v>61</v>
      </c>
      <c r="D10" s="430">
        <v>309</v>
      </c>
      <c r="E10" s="432">
        <v>309</v>
      </c>
      <c r="F10" s="432">
        <v>0</v>
      </c>
      <c r="G10" s="432">
        <v>1255776</v>
      </c>
      <c r="H10" s="433">
        <v>0</v>
      </c>
      <c r="I10" s="433">
        <v>0</v>
      </c>
      <c r="J10" s="433">
        <v>79790</v>
      </c>
      <c r="K10" s="433">
        <v>0</v>
      </c>
      <c r="L10" s="433">
        <v>193600</v>
      </c>
      <c r="M10" s="433">
        <v>0</v>
      </c>
      <c r="N10" s="433">
        <v>14639.999999999929</v>
      </c>
      <c r="O10" s="433">
        <v>12759.999999999955</v>
      </c>
      <c r="P10" s="433">
        <v>9099.9999999999945</v>
      </c>
      <c r="Q10" s="433">
        <v>499.99999999999892</v>
      </c>
      <c r="R10" s="433">
        <v>39219.999999999971</v>
      </c>
      <c r="S10" s="433">
        <v>48299.999999999913</v>
      </c>
      <c r="T10" s="433">
        <v>0</v>
      </c>
      <c r="U10" s="433">
        <v>0</v>
      </c>
      <c r="V10" s="433">
        <v>0</v>
      </c>
      <c r="W10" s="433">
        <v>0</v>
      </c>
      <c r="X10" s="433">
        <v>0</v>
      </c>
      <c r="Y10" s="433">
        <v>0</v>
      </c>
      <c r="Z10" s="433">
        <v>8975.7142857142826</v>
      </c>
      <c r="AA10" s="433">
        <v>0</v>
      </c>
      <c r="AB10" s="433">
        <v>142992.55105859769</v>
      </c>
      <c r="AC10" s="433">
        <v>0</v>
      </c>
      <c r="AD10" s="433">
        <v>2423.0999999999744</v>
      </c>
      <c r="AE10" s="433">
        <v>0</v>
      </c>
      <c r="AF10" s="433">
        <v>152700</v>
      </c>
      <c r="AG10" s="433">
        <v>0</v>
      </c>
      <c r="AH10" s="433">
        <v>0</v>
      </c>
      <c r="AI10" s="433">
        <v>0</v>
      </c>
      <c r="AJ10" s="433">
        <v>41769</v>
      </c>
      <c r="AK10" s="433">
        <v>0</v>
      </c>
      <c r="AL10" s="433">
        <v>0</v>
      </c>
      <c r="AM10" s="433">
        <v>0</v>
      </c>
      <c r="AN10" s="433">
        <v>0</v>
      </c>
      <c r="AO10" s="433">
        <v>0</v>
      </c>
      <c r="AP10" s="433">
        <v>0</v>
      </c>
      <c r="AQ10" s="433">
        <v>0</v>
      </c>
      <c r="AR10" s="433">
        <v>0</v>
      </c>
      <c r="AS10" s="433">
        <v>1255776</v>
      </c>
      <c r="AT10" s="433">
        <v>552301.36534431169</v>
      </c>
      <c r="AU10" s="433">
        <v>194469</v>
      </c>
      <c r="AV10" s="433">
        <v>347379.14281958411</v>
      </c>
      <c r="AW10" s="433">
        <v>2002546.3653443116</v>
      </c>
      <c r="AX10" s="434">
        <v>1960777.3653443116</v>
      </c>
      <c r="AY10" s="434">
        <v>5115</v>
      </c>
      <c r="AZ10" s="434">
        <v>1580535</v>
      </c>
      <c r="BA10" s="434">
        <v>0</v>
      </c>
      <c r="BB10" s="434">
        <v>0</v>
      </c>
      <c r="BC10" s="434">
        <v>2002546.3653443116</v>
      </c>
      <c r="BD10" s="434">
        <v>2002546.3653443118</v>
      </c>
      <c r="BE10" s="433">
        <v>0</v>
      </c>
      <c r="BF10" s="433">
        <v>1622304</v>
      </c>
      <c r="BG10" s="434">
        <v>1427835</v>
      </c>
      <c r="BH10" s="434">
        <v>1808077.3653443116</v>
      </c>
      <c r="BI10" s="433">
        <v>5851.3830593667044</v>
      </c>
      <c r="BJ10" s="433">
        <v>5561.1098919642855</v>
      </c>
      <c r="BK10" s="433">
        <v>5.2196984602274989E-2</v>
      </c>
      <c r="BL10" s="435">
        <v>-2.0359573652728793E-2</v>
      </c>
      <c r="BM10" s="433">
        <v>-34985.544368836949</v>
      </c>
      <c r="BN10" s="433">
        <v>1967560.8209754745</v>
      </c>
      <c r="BO10" s="434">
        <v>6232.3359902118918</v>
      </c>
      <c r="BP10" s="434" t="s">
        <v>768</v>
      </c>
      <c r="BQ10" s="434">
        <v>6367.5107474934448</v>
      </c>
      <c r="BR10" s="434">
        <v>4.0561888517580469E-2</v>
      </c>
      <c r="BS10" s="659">
        <v>-27207.45</v>
      </c>
      <c r="BT10" s="433">
        <v>1940353.3709754746</v>
      </c>
      <c r="BU10" s="433">
        <v>0</v>
      </c>
      <c r="BV10" s="433">
        <v>1940353.3709754746</v>
      </c>
      <c r="BW10" s="433">
        <v>41769</v>
      </c>
      <c r="BX10" s="665">
        <v>1898584.3709754746</v>
      </c>
      <c r="BY10" s="671"/>
      <c r="BZ10" s="380">
        <v>1898584.3709754746</v>
      </c>
      <c r="CA10" s="380">
        <f t="shared" si="0"/>
        <v>0</v>
      </c>
    </row>
    <row r="11" spans="1:152" ht="14.5" x14ac:dyDescent="0.35">
      <c r="A11" s="430">
        <v>131799</v>
      </c>
      <c r="B11" s="430">
        <v>8312003</v>
      </c>
      <c r="C11" s="431" t="s">
        <v>62</v>
      </c>
      <c r="D11" s="430">
        <v>197</v>
      </c>
      <c r="E11" s="432">
        <v>197</v>
      </c>
      <c r="F11" s="432">
        <v>0</v>
      </c>
      <c r="G11" s="432">
        <v>800608</v>
      </c>
      <c r="H11" s="433">
        <v>0</v>
      </c>
      <c r="I11" s="433">
        <v>0</v>
      </c>
      <c r="J11" s="433">
        <v>19189.999999999956</v>
      </c>
      <c r="K11" s="433">
        <v>0</v>
      </c>
      <c r="L11" s="433">
        <v>47189.999999999964</v>
      </c>
      <c r="M11" s="433">
        <v>0</v>
      </c>
      <c r="N11" s="433">
        <v>719.99999999999591</v>
      </c>
      <c r="O11" s="433">
        <v>579.99999999999477</v>
      </c>
      <c r="P11" s="433">
        <v>0</v>
      </c>
      <c r="Q11" s="433">
        <v>0</v>
      </c>
      <c r="R11" s="433">
        <v>1059.9999999999905</v>
      </c>
      <c r="S11" s="433">
        <v>0</v>
      </c>
      <c r="T11" s="433">
        <v>0</v>
      </c>
      <c r="U11" s="433">
        <v>0</v>
      </c>
      <c r="V11" s="433">
        <v>0</v>
      </c>
      <c r="W11" s="433">
        <v>0</v>
      </c>
      <c r="X11" s="433">
        <v>0</v>
      </c>
      <c r="Y11" s="433">
        <v>0</v>
      </c>
      <c r="Z11" s="433">
        <v>4317.4850299401141</v>
      </c>
      <c r="AA11" s="433">
        <v>0</v>
      </c>
      <c r="AB11" s="433">
        <v>51102.18384547504</v>
      </c>
      <c r="AC11" s="433">
        <v>0</v>
      </c>
      <c r="AD11" s="433">
        <v>0</v>
      </c>
      <c r="AE11" s="433">
        <v>0</v>
      </c>
      <c r="AF11" s="433">
        <v>152700</v>
      </c>
      <c r="AG11" s="433">
        <v>0</v>
      </c>
      <c r="AH11" s="433">
        <v>0</v>
      </c>
      <c r="AI11" s="433">
        <v>0</v>
      </c>
      <c r="AJ11" s="433">
        <v>39312</v>
      </c>
      <c r="AK11" s="433">
        <v>0</v>
      </c>
      <c r="AL11" s="433">
        <v>0</v>
      </c>
      <c r="AM11" s="433">
        <v>0</v>
      </c>
      <c r="AN11" s="433">
        <v>0</v>
      </c>
      <c r="AO11" s="433">
        <v>0</v>
      </c>
      <c r="AP11" s="433">
        <v>0</v>
      </c>
      <c r="AQ11" s="433">
        <v>0</v>
      </c>
      <c r="AR11" s="433">
        <v>0</v>
      </c>
      <c r="AS11" s="433">
        <v>800608</v>
      </c>
      <c r="AT11" s="433">
        <v>124159.66887541505</v>
      </c>
      <c r="AU11" s="433">
        <v>192012</v>
      </c>
      <c r="AV11" s="433">
        <v>140046.48256002093</v>
      </c>
      <c r="AW11" s="433">
        <v>1116779.6688754151</v>
      </c>
      <c r="AX11" s="434">
        <v>1077467.6688754151</v>
      </c>
      <c r="AY11" s="434">
        <v>5115</v>
      </c>
      <c r="AZ11" s="434">
        <v>1007655</v>
      </c>
      <c r="BA11" s="434">
        <v>0</v>
      </c>
      <c r="BB11" s="434">
        <v>0</v>
      </c>
      <c r="BC11" s="434">
        <v>1116779.6688754151</v>
      </c>
      <c r="BD11" s="434">
        <v>1116779.6688754153</v>
      </c>
      <c r="BE11" s="433">
        <v>0</v>
      </c>
      <c r="BF11" s="433">
        <v>1046967</v>
      </c>
      <c r="BG11" s="434">
        <v>854955</v>
      </c>
      <c r="BH11" s="434">
        <v>924767.66887541511</v>
      </c>
      <c r="BI11" s="433">
        <v>4694.2521262711425</v>
      </c>
      <c r="BJ11" s="433">
        <v>4400.9357751269035</v>
      </c>
      <c r="BK11" s="433">
        <v>6.6648632502659289E-2</v>
      </c>
      <c r="BL11" s="435">
        <v>-3.0071081041787042E-2</v>
      </c>
      <c r="BM11" s="433">
        <v>-26071.156581647574</v>
      </c>
      <c r="BN11" s="433">
        <v>1090708.5122937676</v>
      </c>
      <c r="BO11" s="434">
        <v>5337.0381334709018</v>
      </c>
      <c r="BP11" s="434" t="s">
        <v>768</v>
      </c>
      <c r="BQ11" s="434">
        <v>5536.5914329632878</v>
      </c>
      <c r="BR11" s="434">
        <v>3.2672965258798481E-2</v>
      </c>
      <c r="BS11" s="659">
        <v>-17345.849999999999</v>
      </c>
      <c r="BT11" s="433">
        <v>1073362.6622937676</v>
      </c>
      <c r="BU11" s="433">
        <v>0</v>
      </c>
      <c r="BV11" s="433">
        <v>1073362.6622937676</v>
      </c>
      <c r="BW11" s="433">
        <v>39312</v>
      </c>
      <c r="BX11" s="665">
        <v>1034050.6622937676</v>
      </c>
      <c r="BY11" s="670"/>
      <c r="BZ11" s="380">
        <v>1034050.6622937676</v>
      </c>
      <c r="CA11" s="380">
        <f t="shared" si="0"/>
        <v>0</v>
      </c>
    </row>
    <row r="12" spans="1:152" ht="14.5" x14ac:dyDescent="0.35">
      <c r="A12" s="430">
        <v>131685</v>
      </c>
      <c r="B12" s="430">
        <v>8312005</v>
      </c>
      <c r="C12" s="431" t="s">
        <v>63</v>
      </c>
      <c r="D12" s="430">
        <v>312</v>
      </c>
      <c r="E12" s="432">
        <v>312</v>
      </c>
      <c r="F12" s="432">
        <v>0</v>
      </c>
      <c r="G12" s="432">
        <v>1267968</v>
      </c>
      <c r="H12" s="433">
        <v>0</v>
      </c>
      <c r="I12" s="433">
        <v>0</v>
      </c>
      <c r="J12" s="433">
        <v>54539.999999999971</v>
      </c>
      <c r="K12" s="433">
        <v>0</v>
      </c>
      <c r="L12" s="433">
        <v>134309.99999999971</v>
      </c>
      <c r="M12" s="433">
        <v>0</v>
      </c>
      <c r="N12" s="433">
        <v>16079.999999999945</v>
      </c>
      <c r="O12" s="433">
        <v>33059.999999999964</v>
      </c>
      <c r="P12" s="433">
        <v>910</v>
      </c>
      <c r="Q12" s="433">
        <v>10999.999999999998</v>
      </c>
      <c r="R12" s="433">
        <v>29679.999999999916</v>
      </c>
      <c r="S12" s="433">
        <v>29399.999999999865</v>
      </c>
      <c r="T12" s="433">
        <v>0</v>
      </c>
      <c r="U12" s="433">
        <v>0</v>
      </c>
      <c r="V12" s="433">
        <v>0</v>
      </c>
      <c r="W12" s="433">
        <v>0</v>
      </c>
      <c r="X12" s="433">
        <v>0</v>
      </c>
      <c r="Y12" s="433">
        <v>0</v>
      </c>
      <c r="Z12" s="433">
        <v>30050.526315789426</v>
      </c>
      <c r="AA12" s="433">
        <v>0</v>
      </c>
      <c r="AB12" s="433">
        <v>108125.03073518565</v>
      </c>
      <c r="AC12" s="433">
        <v>0</v>
      </c>
      <c r="AD12" s="433">
        <v>4215.7999999999965</v>
      </c>
      <c r="AE12" s="433">
        <v>0</v>
      </c>
      <c r="AF12" s="433">
        <v>152700</v>
      </c>
      <c r="AG12" s="433">
        <v>0</v>
      </c>
      <c r="AH12" s="433">
        <v>0</v>
      </c>
      <c r="AI12" s="433">
        <v>0</v>
      </c>
      <c r="AJ12" s="433">
        <v>33579</v>
      </c>
      <c r="AK12" s="433">
        <v>0</v>
      </c>
      <c r="AL12" s="433">
        <v>0</v>
      </c>
      <c r="AM12" s="433">
        <v>0</v>
      </c>
      <c r="AN12" s="433">
        <v>0</v>
      </c>
      <c r="AO12" s="433">
        <v>0</v>
      </c>
      <c r="AP12" s="433">
        <v>0</v>
      </c>
      <c r="AQ12" s="433">
        <v>0</v>
      </c>
      <c r="AR12" s="433">
        <v>0</v>
      </c>
      <c r="AS12" s="433">
        <v>1267968</v>
      </c>
      <c r="AT12" s="433">
        <v>451371.3570509745</v>
      </c>
      <c r="AU12" s="433">
        <v>186279</v>
      </c>
      <c r="AV12" s="433">
        <v>315436.71912362636</v>
      </c>
      <c r="AW12" s="433">
        <v>1905618.3570509744</v>
      </c>
      <c r="AX12" s="434">
        <v>1872039.3570509744</v>
      </c>
      <c r="AY12" s="434">
        <v>5115</v>
      </c>
      <c r="AZ12" s="434">
        <v>1595880</v>
      </c>
      <c r="BA12" s="434">
        <v>0</v>
      </c>
      <c r="BB12" s="434">
        <v>0</v>
      </c>
      <c r="BC12" s="434">
        <v>1905618.3570509744</v>
      </c>
      <c r="BD12" s="434">
        <v>1905618.3570509746</v>
      </c>
      <c r="BE12" s="433">
        <v>0</v>
      </c>
      <c r="BF12" s="433">
        <v>1629459</v>
      </c>
      <c r="BG12" s="434">
        <v>1443180</v>
      </c>
      <c r="BH12" s="434">
        <v>1719339.3570509744</v>
      </c>
      <c r="BI12" s="433">
        <v>5510.7030674710713</v>
      </c>
      <c r="BJ12" s="433">
        <v>5408.7574540192927</v>
      </c>
      <c r="BK12" s="433">
        <v>1.8848250142187831E-2</v>
      </c>
      <c r="BL12" s="435">
        <v>0</v>
      </c>
      <c r="BM12" s="433">
        <v>0</v>
      </c>
      <c r="BN12" s="433">
        <v>1905618.3570509744</v>
      </c>
      <c r="BO12" s="434">
        <v>6000.1261443941485</v>
      </c>
      <c r="BP12" s="434" t="s">
        <v>768</v>
      </c>
      <c r="BQ12" s="434">
        <v>6107.7511443941485</v>
      </c>
      <c r="BR12" s="434">
        <v>1.9663116536758896E-2</v>
      </c>
      <c r="BS12" s="659">
        <v>-27471.599999999999</v>
      </c>
      <c r="BT12" s="433">
        <v>1878146.7570509743</v>
      </c>
      <c r="BU12" s="433">
        <v>0</v>
      </c>
      <c r="BV12" s="433">
        <v>1878146.7570509743</v>
      </c>
      <c r="BW12" s="433">
        <v>33579</v>
      </c>
      <c r="BX12" s="665">
        <v>1844567.7570509743</v>
      </c>
      <c r="BY12" s="670"/>
      <c r="BZ12" s="380">
        <v>1844567.7570509743</v>
      </c>
      <c r="CA12" s="380">
        <f t="shared" si="0"/>
        <v>0</v>
      </c>
    </row>
    <row r="13" spans="1:152" ht="14.5" x14ac:dyDescent="0.35">
      <c r="A13" s="430">
        <v>112717</v>
      </c>
      <c r="B13" s="430">
        <v>8312405</v>
      </c>
      <c r="C13" s="431" t="s">
        <v>64</v>
      </c>
      <c r="D13" s="430">
        <v>209</v>
      </c>
      <c r="E13" s="432">
        <v>209</v>
      </c>
      <c r="F13" s="432">
        <v>0</v>
      </c>
      <c r="G13" s="432">
        <v>849376</v>
      </c>
      <c r="H13" s="433">
        <v>0</v>
      </c>
      <c r="I13" s="433">
        <v>0</v>
      </c>
      <c r="J13" s="433">
        <v>61610.000000000007</v>
      </c>
      <c r="K13" s="433">
        <v>0</v>
      </c>
      <c r="L13" s="433">
        <v>147620.00000000003</v>
      </c>
      <c r="M13" s="433">
        <v>0</v>
      </c>
      <c r="N13" s="433">
        <v>479.99999999999989</v>
      </c>
      <c r="O13" s="433">
        <v>29579.999999999956</v>
      </c>
      <c r="P13" s="433">
        <v>5004.9999999999973</v>
      </c>
      <c r="Q13" s="433">
        <v>10999.999999999913</v>
      </c>
      <c r="R13" s="433">
        <v>34449.999999999978</v>
      </c>
      <c r="S13" s="433">
        <v>1399.9999999999998</v>
      </c>
      <c r="T13" s="433">
        <v>0</v>
      </c>
      <c r="U13" s="433">
        <v>0</v>
      </c>
      <c r="V13" s="433">
        <v>0</v>
      </c>
      <c r="W13" s="433">
        <v>0</v>
      </c>
      <c r="X13" s="433">
        <v>0</v>
      </c>
      <c r="Y13" s="433">
        <v>0</v>
      </c>
      <c r="Z13" s="433">
        <v>49856.424581005522</v>
      </c>
      <c r="AA13" s="433">
        <v>0</v>
      </c>
      <c r="AB13" s="433">
        <v>133523.28045961948</v>
      </c>
      <c r="AC13" s="433">
        <v>0</v>
      </c>
      <c r="AD13" s="433">
        <v>2423.0999999999858</v>
      </c>
      <c r="AE13" s="433">
        <v>0</v>
      </c>
      <c r="AF13" s="433">
        <v>152700</v>
      </c>
      <c r="AG13" s="433">
        <v>0</v>
      </c>
      <c r="AH13" s="433">
        <v>0</v>
      </c>
      <c r="AI13" s="433">
        <v>0</v>
      </c>
      <c r="AJ13" s="433">
        <v>17964</v>
      </c>
      <c r="AK13" s="433">
        <v>0</v>
      </c>
      <c r="AL13" s="433">
        <v>0</v>
      </c>
      <c r="AM13" s="433">
        <v>0</v>
      </c>
      <c r="AN13" s="433">
        <v>0</v>
      </c>
      <c r="AO13" s="433">
        <v>0</v>
      </c>
      <c r="AP13" s="433">
        <v>0</v>
      </c>
      <c r="AQ13" s="433">
        <v>0</v>
      </c>
      <c r="AR13" s="433">
        <v>0</v>
      </c>
      <c r="AS13" s="433">
        <v>849376</v>
      </c>
      <c r="AT13" s="433">
        <v>476947.80504062487</v>
      </c>
      <c r="AU13" s="433">
        <v>170664</v>
      </c>
      <c r="AV13" s="433">
        <v>274011.28690670856</v>
      </c>
      <c r="AW13" s="433">
        <v>1496987.8050406249</v>
      </c>
      <c r="AX13" s="434">
        <v>1479023.8050406249</v>
      </c>
      <c r="AY13" s="434">
        <v>5115</v>
      </c>
      <c r="AZ13" s="434">
        <v>1069035</v>
      </c>
      <c r="BA13" s="434">
        <v>0</v>
      </c>
      <c r="BB13" s="434">
        <v>0</v>
      </c>
      <c r="BC13" s="434">
        <v>1496987.8050406249</v>
      </c>
      <c r="BD13" s="434">
        <v>1496987.8050406249</v>
      </c>
      <c r="BE13" s="433">
        <v>0</v>
      </c>
      <c r="BF13" s="433">
        <v>1086999</v>
      </c>
      <c r="BG13" s="434">
        <v>916335</v>
      </c>
      <c r="BH13" s="434">
        <v>1326323.8050406249</v>
      </c>
      <c r="BI13" s="433">
        <v>6346.0469140699761</v>
      </c>
      <c r="BJ13" s="433">
        <v>5942.7726043902439</v>
      </c>
      <c r="BK13" s="433">
        <v>6.7859623197059876E-2</v>
      </c>
      <c r="BL13" s="435">
        <v>-3.0884866788424236E-2</v>
      </c>
      <c r="BM13" s="433">
        <v>-38360.223710262333</v>
      </c>
      <c r="BN13" s="433">
        <v>1458627.5813303627</v>
      </c>
      <c r="BO13" s="434">
        <v>6893.1271833988649</v>
      </c>
      <c r="BP13" s="434" t="s">
        <v>768</v>
      </c>
      <c r="BQ13" s="434">
        <v>6979.0793365089121</v>
      </c>
      <c r="BR13" s="434">
        <v>3.0079851667808022E-2</v>
      </c>
      <c r="BS13" s="659">
        <v>-18402.45</v>
      </c>
      <c r="BT13" s="433">
        <v>1440225.1313303628</v>
      </c>
      <c r="BU13" s="433">
        <v>0</v>
      </c>
      <c r="BV13" s="433">
        <v>1440225.1313303628</v>
      </c>
      <c r="BW13" s="433">
        <v>17964</v>
      </c>
      <c r="BX13" s="665">
        <v>1422261.1313303628</v>
      </c>
      <c r="BY13" s="670"/>
      <c r="BZ13" s="380">
        <v>1422261.1313303628</v>
      </c>
      <c r="CA13" s="380">
        <f t="shared" si="0"/>
        <v>0</v>
      </c>
    </row>
    <row r="14" spans="1:152" ht="14.5" x14ac:dyDescent="0.35">
      <c r="A14" s="430">
        <v>112720</v>
      </c>
      <c r="B14" s="430">
        <v>8312409</v>
      </c>
      <c r="C14" s="431" t="s">
        <v>65</v>
      </c>
      <c r="D14" s="430">
        <v>545</v>
      </c>
      <c r="E14" s="432">
        <v>545</v>
      </c>
      <c r="F14" s="432">
        <v>0</v>
      </c>
      <c r="G14" s="432">
        <v>2214880</v>
      </c>
      <c r="H14" s="433">
        <v>0</v>
      </c>
      <c r="I14" s="433">
        <v>0</v>
      </c>
      <c r="J14" s="433">
        <v>149479.99999999977</v>
      </c>
      <c r="K14" s="433">
        <v>0</v>
      </c>
      <c r="L14" s="433">
        <v>364209.99999999977</v>
      </c>
      <c r="M14" s="433">
        <v>0</v>
      </c>
      <c r="N14" s="433">
        <v>2159.9999999999986</v>
      </c>
      <c r="O14" s="433">
        <v>55099.999999999978</v>
      </c>
      <c r="P14" s="433">
        <v>58695</v>
      </c>
      <c r="Q14" s="433">
        <v>39499.999999999738</v>
      </c>
      <c r="R14" s="433">
        <v>4239.9999999999973</v>
      </c>
      <c r="S14" s="433">
        <v>4899.9999999999973</v>
      </c>
      <c r="T14" s="433">
        <v>0</v>
      </c>
      <c r="U14" s="433">
        <v>0</v>
      </c>
      <c r="V14" s="433">
        <v>0</v>
      </c>
      <c r="W14" s="433">
        <v>0</v>
      </c>
      <c r="X14" s="433">
        <v>0</v>
      </c>
      <c r="Y14" s="433">
        <v>0</v>
      </c>
      <c r="Z14" s="433">
        <v>140570.8245243126</v>
      </c>
      <c r="AA14" s="433">
        <v>0</v>
      </c>
      <c r="AB14" s="433">
        <v>306274.3440645159</v>
      </c>
      <c r="AC14" s="433">
        <v>0</v>
      </c>
      <c r="AD14" s="433">
        <v>3250.4999999999809</v>
      </c>
      <c r="AE14" s="433">
        <v>0</v>
      </c>
      <c r="AF14" s="433">
        <v>152700</v>
      </c>
      <c r="AG14" s="433">
        <v>0</v>
      </c>
      <c r="AH14" s="433">
        <v>0</v>
      </c>
      <c r="AI14" s="433">
        <v>0</v>
      </c>
      <c r="AJ14" s="433">
        <v>48867</v>
      </c>
      <c r="AK14" s="433">
        <v>0</v>
      </c>
      <c r="AL14" s="433">
        <v>0</v>
      </c>
      <c r="AM14" s="433">
        <v>0</v>
      </c>
      <c r="AN14" s="433">
        <v>0</v>
      </c>
      <c r="AO14" s="433">
        <v>0</v>
      </c>
      <c r="AP14" s="433">
        <v>0</v>
      </c>
      <c r="AQ14" s="433">
        <v>0</v>
      </c>
      <c r="AR14" s="433">
        <v>0</v>
      </c>
      <c r="AS14" s="433">
        <v>2214880</v>
      </c>
      <c r="AT14" s="433">
        <v>1128380.6685888278</v>
      </c>
      <c r="AU14" s="433">
        <v>201567</v>
      </c>
      <c r="AV14" s="433">
        <v>672391.88400472875</v>
      </c>
      <c r="AW14" s="433">
        <v>3544827.6685888278</v>
      </c>
      <c r="AX14" s="434">
        <v>3495960.6685888278</v>
      </c>
      <c r="AY14" s="434">
        <v>5115</v>
      </c>
      <c r="AZ14" s="434">
        <v>2787675</v>
      </c>
      <c r="BA14" s="434">
        <v>0</v>
      </c>
      <c r="BB14" s="434">
        <v>0</v>
      </c>
      <c r="BC14" s="434">
        <v>3544827.6685888278</v>
      </c>
      <c r="BD14" s="434">
        <v>3544827.6685888283</v>
      </c>
      <c r="BE14" s="433">
        <v>0</v>
      </c>
      <c r="BF14" s="433">
        <v>2836542</v>
      </c>
      <c r="BG14" s="434">
        <v>2634975</v>
      </c>
      <c r="BH14" s="434">
        <v>3343260.6685888278</v>
      </c>
      <c r="BI14" s="433">
        <v>6134.4232451171156</v>
      </c>
      <c r="BJ14" s="433">
        <v>5813.209669398907</v>
      </c>
      <c r="BK14" s="433">
        <v>5.5255804277815172E-2</v>
      </c>
      <c r="BL14" s="435">
        <v>-2.24151004746918E-2</v>
      </c>
      <c r="BM14" s="433">
        <v>-71015.504956914388</v>
      </c>
      <c r="BN14" s="433">
        <v>3473812.1636319133</v>
      </c>
      <c r="BO14" s="434">
        <v>6284.3030525356207</v>
      </c>
      <c r="BP14" s="434" t="s">
        <v>768</v>
      </c>
      <c r="BQ14" s="434">
        <v>6373.9672727191073</v>
      </c>
      <c r="BR14" s="434">
        <v>3.3095385263416377E-2</v>
      </c>
      <c r="BS14" s="659">
        <v>-47987.25</v>
      </c>
      <c r="BT14" s="433">
        <v>3425824.9136319133</v>
      </c>
      <c r="BU14" s="433">
        <v>0</v>
      </c>
      <c r="BV14" s="433">
        <v>3425824.9136319133</v>
      </c>
      <c r="BW14" s="433">
        <v>48867</v>
      </c>
      <c r="BX14" s="665">
        <v>3376957.9136319133</v>
      </c>
      <c r="BY14" s="670"/>
      <c r="BZ14" s="380">
        <v>3376957.9136319133</v>
      </c>
      <c r="CA14" s="380">
        <f t="shared" si="0"/>
        <v>0</v>
      </c>
    </row>
    <row r="15" spans="1:152" ht="14.5" x14ac:dyDescent="0.35">
      <c r="A15" s="430">
        <v>112728</v>
      </c>
      <c r="B15" s="430">
        <v>8312424</v>
      </c>
      <c r="C15" s="431" t="s">
        <v>66</v>
      </c>
      <c r="D15" s="430">
        <v>259</v>
      </c>
      <c r="E15" s="432">
        <v>259</v>
      </c>
      <c r="F15" s="432">
        <v>0</v>
      </c>
      <c r="G15" s="432">
        <v>1052576</v>
      </c>
      <c r="H15" s="433">
        <v>0</v>
      </c>
      <c r="I15" s="433">
        <v>0</v>
      </c>
      <c r="J15" s="433">
        <v>79284.999999999971</v>
      </c>
      <c r="K15" s="433">
        <v>0</v>
      </c>
      <c r="L15" s="433">
        <v>193599.99999999977</v>
      </c>
      <c r="M15" s="433">
        <v>0</v>
      </c>
      <c r="N15" s="433">
        <v>5520</v>
      </c>
      <c r="O15" s="433">
        <v>8409.9999999999272</v>
      </c>
      <c r="P15" s="433">
        <v>43679.999999999927</v>
      </c>
      <c r="Q15" s="433">
        <v>45999.999999999971</v>
      </c>
      <c r="R15" s="433">
        <v>3709.9999999999964</v>
      </c>
      <c r="S15" s="433">
        <v>4199.9999999999873</v>
      </c>
      <c r="T15" s="433">
        <v>0</v>
      </c>
      <c r="U15" s="433">
        <v>0</v>
      </c>
      <c r="V15" s="433">
        <v>0</v>
      </c>
      <c r="W15" s="433">
        <v>0</v>
      </c>
      <c r="X15" s="433">
        <v>0</v>
      </c>
      <c r="Y15" s="433">
        <v>0</v>
      </c>
      <c r="Z15" s="433">
        <v>140537.61627906974</v>
      </c>
      <c r="AA15" s="433">
        <v>0</v>
      </c>
      <c r="AB15" s="433">
        <v>109694.11764705875</v>
      </c>
      <c r="AC15" s="433">
        <v>0</v>
      </c>
      <c r="AD15" s="433">
        <v>4393.0999999999967</v>
      </c>
      <c r="AE15" s="433">
        <v>0</v>
      </c>
      <c r="AF15" s="433">
        <v>152700</v>
      </c>
      <c r="AG15" s="433">
        <v>0</v>
      </c>
      <c r="AH15" s="433">
        <v>0</v>
      </c>
      <c r="AI15" s="433">
        <v>0</v>
      </c>
      <c r="AJ15" s="433">
        <v>15094.75</v>
      </c>
      <c r="AK15" s="433">
        <v>0</v>
      </c>
      <c r="AL15" s="433">
        <v>0</v>
      </c>
      <c r="AM15" s="433">
        <v>0</v>
      </c>
      <c r="AN15" s="433">
        <v>0</v>
      </c>
      <c r="AO15" s="433">
        <v>0</v>
      </c>
      <c r="AP15" s="433">
        <v>0</v>
      </c>
      <c r="AQ15" s="433">
        <v>0</v>
      </c>
      <c r="AR15" s="433">
        <v>0</v>
      </c>
      <c r="AS15" s="433">
        <v>1052576</v>
      </c>
      <c r="AT15" s="433">
        <v>639029.83392612811</v>
      </c>
      <c r="AU15" s="433">
        <v>167794.75</v>
      </c>
      <c r="AV15" s="433">
        <v>361157.47429035546</v>
      </c>
      <c r="AW15" s="433">
        <v>1859400.5839261282</v>
      </c>
      <c r="AX15" s="434">
        <v>1844305.8339261282</v>
      </c>
      <c r="AY15" s="434">
        <v>5115</v>
      </c>
      <c r="AZ15" s="434">
        <v>1324785</v>
      </c>
      <c r="BA15" s="434">
        <v>0</v>
      </c>
      <c r="BB15" s="434">
        <v>0</v>
      </c>
      <c r="BC15" s="434">
        <v>1859400.5839261282</v>
      </c>
      <c r="BD15" s="434">
        <v>1859400.5839261285</v>
      </c>
      <c r="BE15" s="433">
        <v>0</v>
      </c>
      <c r="BF15" s="433">
        <v>1339879.75</v>
      </c>
      <c r="BG15" s="434">
        <v>1172085</v>
      </c>
      <c r="BH15" s="434">
        <v>1691605.8339261282</v>
      </c>
      <c r="BI15" s="433">
        <v>6531.2966560854375</v>
      </c>
      <c r="BJ15" s="433">
        <v>6213.2663825910931</v>
      </c>
      <c r="BK15" s="433">
        <v>5.1185681397055677E-2</v>
      </c>
      <c r="BL15" s="435">
        <v>-1.9679977898821418E-2</v>
      </c>
      <c r="BM15" s="433">
        <v>-31669.72877802065</v>
      </c>
      <c r="BN15" s="433">
        <v>1827730.8551481075</v>
      </c>
      <c r="BO15" s="434">
        <v>6998.5950005718432</v>
      </c>
      <c r="BP15" s="434" t="s">
        <v>768</v>
      </c>
      <c r="BQ15" s="434">
        <v>7056.8758886027317</v>
      </c>
      <c r="BR15" s="434">
        <v>2.3833903191990302E-2</v>
      </c>
      <c r="BS15" s="659">
        <v>-22804.95</v>
      </c>
      <c r="BT15" s="433">
        <v>1804925.9051481076</v>
      </c>
      <c r="BU15" s="433">
        <v>0</v>
      </c>
      <c r="BV15" s="433">
        <v>1804925.9051481076</v>
      </c>
      <c r="BW15" s="433">
        <v>15094.75</v>
      </c>
      <c r="BX15" s="665">
        <v>1789831.1551481076</v>
      </c>
      <c r="BY15" s="670"/>
      <c r="BZ15" s="380">
        <v>1789831.1551481076</v>
      </c>
      <c r="CA15" s="380">
        <f t="shared" si="0"/>
        <v>0</v>
      </c>
    </row>
    <row r="16" spans="1:152" ht="14.5" x14ac:dyDescent="0.35">
      <c r="A16" s="430">
        <v>112733</v>
      </c>
      <c r="B16" s="430">
        <v>8312429</v>
      </c>
      <c r="C16" s="431" t="s">
        <v>67</v>
      </c>
      <c r="D16" s="430">
        <v>145</v>
      </c>
      <c r="E16" s="432">
        <v>145</v>
      </c>
      <c r="F16" s="432">
        <v>0</v>
      </c>
      <c r="G16" s="432">
        <v>589280</v>
      </c>
      <c r="H16" s="433">
        <v>0</v>
      </c>
      <c r="I16" s="433">
        <v>0</v>
      </c>
      <c r="J16" s="433">
        <v>27774.999999999985</v>
      </c>
      <c r="K16" s="433">
        <v>0</v>
      </c>
      <c r="L16" s="433">
        <v>68969.999999999985</v>
      </c>
      <c r="M16" s="433">
        <v>0</v>
      </c>
      <c r="N16" s="433">
        <v>7199.9999999999673</v>
      </c>
      <c r="O16" s="433">
        <v>5219.9999999999682</v>
      </c>
      <c r="P16" s="433">
        <v>20019.999999999938</v>
      </c>
      <c r="Q16" s="433">
        <v>13499.999999999991</v>
      </c>
      <c r="R16" s="433">
        <v>2649.9999999999959</v>
      </c>
      <c r="S16" s="433">
        <v>9100</v>
      </c>
      <c r="T16" s="433">
        <v>0</v>
      </c>
      <c r="U16" s="433">
        <v>0</v>
      </c>
      <c r="V16" s="433">
        <v>0</v>
      </c>
      <c r="W16" s="433">
        <v>0</v>
      </c>
      <c r="X16" s="433">
        <v>0</v>
      </c>
      <c r="Y16" s="433">
        <v>0</v>
      </c>
      <c r="Z16" s="433">
        <v>73562.376237623699</v>
      </c>
      <c r="AA16" s="433">
        <v>0</v>
      </c>
      <c r="AB16" s="433">
        <v>86999.999999999825</v>
      </c>
      <c r="AC16" s="433">
        <v>0</v>
      </c>
      <c r="AD16" s="433">
        <v>295.49999999998926</v>
      </c>
      <c r="AE16" s="433">
        <v>0</v>
      </c>
      <c r="AF16" s="433">
        <v>152700</v>
      </c>
      <c r="AG16" s="433">
        <v>0</v>
      </c>
      <c r="AH16" s="433">
        <v>0</v>
      </c>
      <c r="AI16" s="433">
        <v>0</v>
      </c>
      <c r="AJ16" s="433">
        <v>16591.75</v>
      </c>
      <c r="AK16" s="433">
        <v>0</v>
      </c>
      <c r="AL16" s="433">
        <v>0</v>
      </c>
      <c r="AM16" s="433">
        <v>0</v>
      </c>
      <c r="AN16" s="433">
        <v>0</v>
      </c>
      <c r="AO16" s="433">
        <v>0</v>
      </c>
      <c r="AP16" s="433">
        <v>0</v>
      </c>
      <c r="AQ16" s="433">
        <v>0</v>
      </c>
      <c r="AR16" s="433">
        <v>0</v>
      </c>
      <c r="AS16" s="433">
        <v>589280</v>
      </c>
      <c r="AT16" s="433">
        <v>315292.87623762339</v>
      </c>
      <c r="AU16" s="433">
        <v>169291.75</v>
      </c>
      <c r="AV16" s="433">
        <v>185576.66918316815</v>
      </c>
      <c r="AW16" s="433">
        <v>1073864.6262376234</v>
      </c>
      <c r="AX16" s="434">
        <v>1057272.8762376234</v>
      </c>
      <c r="AY16" s="434">
        <v>5115</v>
      </c>
      <c r="AZ16" s="434">
        <v>741675</v>
      </c>
      <c r="BA16" s="434">
        <v>0</v>
      </c>
      <c r="BB16" s="434">
        <v>0</v>
      </c>
      <c r="BC16" s="434">
        <v>1073864.6262376234</v>
      </c>
      <c r="BD16" s="434">
        <v>1073864.6262376234</v>
      </c>
      <c r="BE16" s="433">
        <v>0</v>
      </c>
      <c r="BF16" s="433">
        <v>758266.75</v>
      </c>
      <c r="BG16" s="434">
        <v>588975</v>
      </c>
      <c r="BH16" s="434">
        <v>904572.87623762339</v>
      </c>
      <c r="BI16" s="433">
        <v>6238.4336292249891</v>
      </c>
      <c r="BJ16" s="433">
        <v>5955.7984906040265</v>
      </c>
      <c r="BK16" s="433">
        <v>4.7455456907558716E-2</v>
      </c>
      <c r="BL16" s="435">
        <v>-1.7173267041879457E-2</v>
      </c>
      <c r="BM16" s="433">
        <v>-14830.675099381004</v>
      </c>
      <c r="BN16" s="433">
        <v>1059033.9511382424</v>
      </c>
      <c r="BO16" s="434">
        <v>7189.2565595740853</v>
      </c>
      <c r="BP16" s="434" t="s">
        <v>768</v>
      </c>
      <c r="BQ16" s="434">
        <v>7303.6824216430505</v>
      </c>
      <c r="BR16" s="434">
        <v>3.0221481530144034E-2</v>
      </c>
      <c r="BS16" s="659">
        <v>-12767.25</v>
      </c>
      <c r="BT16" s="433">
        <v>1046266.7011382424</v>
      </c>
      <c r="BU16" s="433">
        <v>0</v>
      </c>
      <c r="BV16" s="433">
        <v>1046266.7011382424</v>
      </c>
      <c r="BW16" s="433">
        <v>16591.75</v>
      </c>
      <c r="BX16" s="665">
        <v>1029674.9511382424</v>
      </c>
      <c r="BY16" s="670"/>
      <c r="BZ16" s="380">
        <v>1029674.9511382424</v>
      </c>
      <c r="CA16" s="380">
        <f t="shared" si="0"/>
        <v>0</v>
      </c>
    </row>
    <row r="17" spans="1:79" ht="14.5" x14ac:dyDescent="0.35">
      <c r="A17" s="430">
        <v>112739</v>
      </c>
      <c r="B17" s="430">
        <v>8312436</v>
      </c>
      <c r="C17" s="431" t="s">
        <v>68</v>
      </c>
      <c r="D17" s="430">
        <v>418</v>
      </c>
      <c r="E17" s="432">
        <v>418</v>
      </c>
      <c r="F17" s="432">
        <v>0</v>
      </c>
      <c r="G17" s="432">
        <v>1698752</v>
      </c>
      <c r="H17" s="433">
        <v>0</v>
      </c>
      <c r="I17" s="433">
        <v>0</v>
      </c>
      <c r="J17" s="433">
        <v>53024.999999999818</v>
      </c>
      <c r="K17" s="433">
        <v>0</v>
      </c>
      <c r="L17" s="433">
        <v>127049.99999999956</v>
      </c>
      <c r="M17" s="433">
        <v>0</v>
      </c>
      <c r="N17" s="433">
        <v>17279.999999999982</v>
      </c>
      <c r="O17" s="433">
        <v>19719.999999999931</v>
      </c>
      <c r="P17" s="433">
        <v>0</v>
      </c>
      <c r="Q17" s="433">
        <v>1999.9999999999995</v>
      </c>
      <c r="R17" s="433">
        <v>4239.9999999999909</v>
      </c>
      <c r="S17" s="433">
        <v>24499.999999999985</v>
      </c>
      <c r="T17" s="433">
        <v>0</v>
      </c>
      <c r="U17" s="433">
        <v>0</v>
      </c>
      <c r="V17" s="433">
        <v>0</v>
      </c>
      <c r="W17" s="433">
        <v>0</v>
      </c>
      <c r="X17" s="433">
        <v>0</v>
      </c>
      <c r="Y17" s="433">
        <v>0</v>
      </c>
      <c r="Z17" s="433">
        <v>23179.999999999996</v>
      </c>
      <c r="AA17" s="433">
        <v>0</v>
      </c>
      <c r="AB17" s="433">
        <v>128873.82132467769</v>
      </c>
      <c r="AC17" s="433">
        <v>0</v>
      </c>
      <c r="AD17" s="433">
        <v>0</v>
      </c>
      <c r="AE17" s="433">
        <v>0</v>
      </c>
      <c r="AF17" s="433">
        <v>152700</v>
      </c>
      <c r="AG17" s="433">
        <v>0</v>
      </c>
      <c r="AH17" s="433">
        <v>0</v>
      </c>
      <c r="AI17" s="433">
        <v>0</v>
      </c>
      <c r="AJ17" s="433">
        <v>37401</v>
      </c>
      <c r="AK17" s="433">
        <v>0</v>
      </c>
      <c r="AL17" s="433">
        <v>0</v>
      </c>
      <c r="AM17" s="433">
        <v>0</v>
      </c>
      <c r="AN17" s="433">
        <v>0</v>
      </c>
      <c r="AO17" s="433">
        <v>0</v>
      </c>
      <c r="AP17" s="433">
        <v>0</v>
      </c>
      <c r="AQ17" s="433">
        <v>0</v>
      </c>
      <c r="AR17" s="433">
        <v>0</v>
      </c>
      <c r="AS17" s="433">
        <v>1698752</v>
      </c>
      <c r="AT17" s="433">
        <v>399868.82132467697</v>
      </c>
      <c r="AU17" s="433">
        <v>190101</v>
      </c>
      <c r="AV17" s="433">
        <v>345916.63951694866</v>
      </c>
      <c r="AW17" s="433">
        <v>2288721.8213246772</v>
      </c>
      <c r="AX17" s="434">
        <v>2251320.8213246772</v>
      </c>
      <c r="AY17" s="434">
        <v>5115</v>
      </c>
      <c r="AZ17" s="434">
        <v>2138070</v>
      </c>
      <c r="BA17" s="434">
        <v>0</v>
      </c>
      <c r="BB17" s="434">
        <v>0</v>
      </c>
      <c r="BC17" s="434">
        <v>2288721.8213246772</v>
      </c>
      <c r="BD17" s="434">
        <v>2288721.8213246772</v>
      </c>
      <c r="BE17" s="433">
        <v>0</v>
      </c>
      <c r="BF17" s="433">
        <v>2175471</v>
      </c>
      <c r="BG17" s="434">
        <v>1985370</v>
      </c>
      <c r="BH17" s="434">
        <v>2098620.8213246772</v>
      </c>
      <c r="BI17" s="433">
        <v>5020.6239744609502</v>
      </c>
      <c r="BJ17" s="433">
        <v>4894.9782954869361</v>
      </c>
      <c r="BK17" s="433">
        <v>2.5668281121870695E-2</v>
      </c>
      <c r="BL17" s="435">
        <v>-2.5322849138971078E-3</v>
      </c>
      <c r="BM17" s="433">
        <v>-5181.3105110534152</v>
      </c>
      <c r="BN17" s="433">
        <v>2283540.5108136237</v>
      </c>
      <c r="BO17" s="434">
        <v>5373.5394995541237</v>
      </c>
      <c r="BP17" s="434" t="s">
        <v>768</v>
      </c>
      <c r="BQ17" s="434">
        <v>5463.0155761091473</v>
      </c>
      <c r="BR17" s="434">
        <v>2.4825005138928935E-2</v>
      </c>
      <c r="BS17" s="659">
        <v>-36804.9</v>
      </c>
      <c r="BT17" s="433">
        <v>2246735.6108136238</v>
      </c>
      <c r="BU17" s="433">
        <v>0</v>
      </c>
      <c r="BV17" s="433">
        <v>2246735.6108136238</v>
      </c>
      <c r="BW17" s="433">
        <v>37401</v>
      </c>
      <c r="BX17" s="665">
        <v>2209334.6108136238</v>
      </c>
      <c r="BY17" s="670"/>
      <c r="BZ17" s="380">
        <v>2209334.6108136238</v>
      </c>
      <c r="CA17" s="380">
        <f t="shared" si="0"/>
        <v>0</v>
      </c>
    </row>
    <row r="18" spans="1:79" ht="14.5" x14ac:dyDescent="0.35">
      <c r="A18" s="430">
        <v>112740</v>
      </c>
      <c r="B18" s="430">
        <v>8312439</v>
      </c>
      <c r="C18" s="431" t="s">
        <v>69</v>
      </c>
      <c r="D18" s="430">
        <v>166</v>
      </c>
      <c r="E18" s="432">
        <v>166</v>
      </c>
      <c r="F18" s="432">
        <v>0</v>
      </c>
      <c r="G18" s="432">
        <v>674624</v>
      </c>
      <c r="H18" s="433">
        <v>0</v>
      </c>
      <c r="I18" s="433">
        <v>0</v>
      </c>
      <c r="J18" s="433">
        <v>15654.99999999998</v>
      </c>
      <c r="K18" s="433">
        <v>0</v>
      </c>
      <c r="L18" s="433">
        <v>38719.99999999992</v>
      </c>
      <c r="M18" s="433">
        <v>0</v>
      </c>
      <c r="N18" s="433">
        <v>2414.5454545454545</v>
      </c>
      <c r="O18" s="433">
        <v>2334.0606060606019</v>
      </c>
      <c r="P18" s="433">
        <v>0</v>
      </c>
      <c r="Q18" s="433">
        <v>1006.0606060606043</v>
      </c>
      <c r="R18" s="433">
        <v>533.21212121212113</v>
      </c>
      <c r="S18" s="433">
        <v>0</v>
      </c>
      <c r="T18" s="433">
        <v>0</v>
      </c>
      <c r="U18" s="433">
        <v>0</v>
      </c>
      <c r="V18" s="433">
        <v>0</v>
      </c>
      <c r="W18" s="433">
        <v>0</v>
      </c>
      <c r="X18" s="433">
        <v>0</v>
      </c>
      <c r="Y18" s="433">
        <v>0</v>
      </c>
      <c r="Z18" s="433">
        <v>5573.9449541284375</v>
      </c>
      <c r="AA18" s="433">
        <v>0</v>
      </c>
      <c r="AB18" s="433">
        <v>49800</v>
      </c>
      <c r="AC18" s="433">
        <v>0</v>
      </c>
      <c r="AD18" s="433">
        <v>0</v>
      </c>
      <c r="AE18" s="433">
        <v>0</v>
      </c>
      <c r="AF18" s="433">
        <v>152700</v>
      </c>
      <c r="AG18" s="433">
        <v>0</v>
      </c>
      <c r="AH18" s="433">
        <v>0</v>
      </c>
      <c r="AI18" s="433">
        <v>0</v>
      </c>
      <c r="AJ18" s="433">
        <v>15219.5</v>
      </c>
      <c r="AK18" s="433">
        <v>0</v>
      </c>
      <c r="AL18" s="433">
        <v>0</v>
      </c>
      <c r="AM18" s="433">
        <v>0</v>
      </c>
      <c r="AN18" s="433">
        <v>0</v>
      </c>
      <c r="AO18" s="433">
        <v>0</v>
      </c>
      <c r="AP18" s="433">
        <v>0</v>
      </c>
      <c r="AQ18" s="433">
        <v>0</v>
      </c>
      <c r="AR18" s="433">
        <v>0</v>
      </c>
      <c r="AS18" s="433">
        <v>674624</v>
      </c>
      <c r="AT18" s="433">
        <v>116036.82374200712</v>
      </c>
      <c r="AU18" s="433">
        <v>167919.5</v>
      </c>
      <c r="AV18" s="433">
        <v>122125.40972685568</v>
      </c>
      <c r="AW18" s="433">
        <v>958580.32374200714</v>
      </c>
      <c r="AX18" s="434">
        <v>943360.82374200714</v>
      </c>
      <c r="AY18" s="434">
        <v>5115</v>
      </c>
      <c r="AZ18" s="434">
        <v>849090</v>
      </c>
      <c r="BA18" s="434">
        <v>0</v>
      </c>
      <c r="BB18" s="434">
        <v>0</v>
      </c>
      <c r="BC18" s="434">
        <v>958580.32374200714</v>
      </c>
      <c r="BD18" s="434">
        <v>958580.32374200702</v>
      </c>
      <c r="BE18" s="433">
        <v>0</v>
      </c>
      <c r="BF18" s="433">
        <v>864309.5</v>
      </c>
      <c r="BG18" s="434">
        <v>696390</v>
      </c>
      <c r="BH18" s="434">
        <v>790660.82374200714</v>
      </c>
      <c r="BI18" s="433">
        <v>4763.0170104940189</v>
      </c>
      <c r="BJ18" s="433">
        <v>4528.4306761627904</v>
      </c>
      <c r="BK18" s="433">
        <v>5.1803008836166509E-2</v>
      </c>
      <c r="BL18" s="435">
        <v>-2.0094821937903896E-2</v>
      </c>
      <c r="BM18" s="433">
        <v>-15105.669343875079</v>
      </c>
      <c r="BN18" s="433">
        <v>943474.65439813212</v>
      </c>
      <c r="BO18" s="434">
        <v>5591.8985204706751</v>
      </c>
      <c r="BP18" s="434" t="s">
        <v>768</v>
      </c>
      <c r="BQ18" s="434">
        <v>5683.5822554104343</v>
      </c>
      <c r="BR18" s="434">
        <v>3.4232351464228206E-2</v>
      </c>
      <c r="BS18" s="659">
        <v>-14616.3</v>
      </c>
      <c r="BT18" s="433">
        <v>928858.35439813207</v>
      </c>
      <c r="BU18" s="433">
        <v>0</v>
      </c>
      <c r="BV18" s="433">
        <v>928858.35439813207</v>
      </c>
      <c r="BW18" s="433">
        <v>15219.5</v>
      </c>
      <c r="BX18" s="665">
        <v>913638.85439813207</v>
      </c>
      <c r="BY18" s="670"/>
      <c r="BZ18" s="380">
        <v>913638.85439813207</v>
      </c>
      <c r="CA18" s="380">
        <f t="shared" si="0"/>
        <v>0</v>
      </c>
    </row>
    <row r="19" spans="1:79" ht="14.5" x14ac:dyDescent="0.35">
      <c r="A19" s="430">
        <v>112744</v>
      </c>
      <c r="B19" s="430">
        <v>8312443</v>
      </c>
      <c r="C19" s="431" t="s">
        <v>70</v>
      </c>
      <c r="D19" s="430">
        <v>241</v>
      </c>
      <c r="E19" s="432">
        <v>241</v>
      </c>
      <c r="F19" s="432">
        <v>0</v>
      </c>
      <c r="G19" s="432">
        <v>979424</v>
      </c>
      <c r="H19" s="433">
        <v>0</v>
      </c>
      <c r="I19" s="433">
        <v>0</v>
      </c>
      <c r="J19" s="433">
        <v>43934.999999999927</v>
      </c>
      <c r="K19" s="433">
        <v>0</v>
      </c>
      <c r="L19" s="433">
        <v>106479.99999999981</v>
      </c>
      <c r="M19" s="433">
        <v>0</v>
      </c>
      <c r="N19" s="433">
        <v>8879.9999999999509</v>
      </c>
      <c r="O19" s="433">
        <v>11309.999999999942</v>
      </c>
      <c r="P19" s="433">
        <v>0</v>
      </c>
      <c r="Q19" s="433">
        <v>24499.999999999905</v>
      </c>
      <c r="R19" s="433">
        <v>7949.9999999999945</v>
      </c>
      <c r="S19" s="433">
        <v>9099.9999999999927</v>
      </c>
      <c r="T19" s="433">
        <v>0</v>
      </c>
      <c r="U19" s="433">
        <v>0</v>
      </c>
      <c r="V19" s="433">
        <v>0</v>
      </c>
      <c r="W19" s="433">
        <v>0</v>
      </c>
      <c r="X19" s="433">
        <v>0</v>
      </c>
      <c r="Y19" s="433">
        <v>0</v>
      </c>
      <c r="Z19" s="433">
        <v>19416.415094339594</v>
      </c>
      <c r="AA19" s="433">
        <v>0</v>
      </c>
      <c r="AB19" s="433">
        <v>80030.188679245082</v>
      </c>
      <c r="AC19" s="433">
        <v>0</v>
      </c>
      <c r="AD19" s="433">
        <v>0</v>
      </c>
      <c r="AE19" s="433">
        <v>0</v>
      </c>
      <c r="AF19" s="433">
        <v>152700</v>
      </c>
      <c r="AG19" s="433">
        <v>0</v>
      </c>
      <c r="AH19" s="433">
        <v>0</v>
      </c>
      <c r="AI19" s="433">
        <v>0</v>
      </c>
      <c r="AJ19" s="433">
        <v>21581.75</v>
      </c>
      <c r="AK19" s="433">
        <v>0</v>
      </c>
      <c r="AL19" s="433">
        <v>0</v>
      </c>
      <c r="AM19" s="433">
        <v>0</v>
      </c>
      <c r="AN19" s="433">
        <v>0</v>
      </c>
      <c r="AO19" s="433">
        <v>0</v>
      </c>
      <c r="AP19" s="433">
        <v>0</v>
      </c>
      <c r="AQ19" s="433">
        <v>0</v>
      </c>
      <c r="AR19" s="433">
        <v>0</v>
      </c>
      <c r="AS19" s="433">
        <v>979424</v>
      </c>
      <c r="AT19" s="433">
        <v>311601.60377358418</v>
      </c>
      <c r="AU19" s="433">
        <v>174281.75</v>
      </c>
      <c r="AV19" s="433">
        <v>228302.43325471671</v>
      </c>
      <c r="AW19" s="433">
        <v>1465307.3537735841</v>
      </c>
      <c r="AX19" s="434">
        <v>1443725.6037735841</v>
      </c>
      <c r="AY19" s="434">
        <v>5115</v>
      </c>
      <c r="AZ19" s="434">
        <v>1232715</v>
      </c>
      <c r="BA19" s="434">
        <v>0</v>
      </c>
      <c r="BB19" s="434">
        <v>0</v>
      </c>
      <c r="BC19" s="434">
        <v>1465307.3537735841</v>
      </c>
      <c r="BD19" s="434">
        <v>1465307.3537735844</v>
      </c>
      <c r="BE19" s="433">
        <v>0</v>
      </c>
      <c r="BF19" s="433">
        <v>1254296.75</v>
      </c>
      <c r="BG19" s="434">
        <v>1080015</v>
      </c>
      <c r="BH19" s="434">
        <v>1291025.6037735841</v>
      </c>
      <c r="BI19" s="433">
        <v>5356.9527127534611</v>
      </c>
      <c r="BJ19" s="433">
        <v>5237.5238315985125</v>
      </c>
      <c r="BK19" s="433">
        <v>2.2802546584021643E-2</v>
      </c>
      <c r="BL19" s="435">
        <v>-6.0651130446254492E-4</v>
      </c>
      <c r="BM19" s="433">
        <v>-765.56479611281179</v>
      </c>
      <c r="BN19" s="433">
        <v>1464541.7889774714</v>
      </c>
      <c r="BO19" s="434">
        <v>5987.3860538484287</v>
      </c>
      <c r="BP19" s="434" t="s">
        <v>768</v>
      </c>
      <c r="BQ19" s="434">
        <v>6076.9368837239481</v>
      </c>
      <c r="BR19" s="434">
        <v>3.2957216856965177E-2</v>
      </c>
      <c r="BS19" s="659">
        <v>-21220.05</v>
      </c>
      <c r="BT19" s="433">
        <v>1443321.7389774714</v>
      </c>
      <c r="BU19" s="433">
        <v>0</v>
      </c>
      <c r="BV19" s="433">
        <v>1443321.7389774714</v>
      </c>
      <c r="BW19" s="433">
        <v>21581.75</v>
      </c>
      <c r="BX19" s="665">
        <v>1421739.9889774714</v>
      </c>
      <c r="BY19" s="670"/>
      <c r="BZ19" s="380">
        <v>1421739.9889774714</v>
      </c>
      <c r="CA19" s="380">
        <f t="shared" si="0"/>
        <v>0</v>
      </c>
    </row>
    <row r="20" spans="1:79" ht="14.5" x14ac:dyDescent="0.35">
      <c r="A20" s="430">
        <v>112745</v>
      </c>
      <c r="B20" s="430">
        <v>8312444</v>
      </c>
      <c r="C20" s="431" t="s">
        <v>71</v>
      </c>
      <c r="D20" s="430">
        <v>159</v>
      </c>
      <c r="E20" s="432">
        <v>159</v>
      </c>
      <c r="F20" s="432">
        <v>0</v>
      </c>
      <c r="G20" s="432">
        <v>646176</v>
      </c>
      <c r="H20" s="433">
        <v>0</v>
      </c>
      <c r="I20" s="433">
        <v>0</v>
      </c>
      <c r="J20" s="433">
        <v>24744.999999999935</v>
      </c>
      <c r="K20" s="433">
        <v>0</v>
      </c>
      <c r="L20" s="433">
        <v>59289.999999999847</v>
      </c>
      <c r="M20" s="433">
        <v>0</v>
      </c>
      <c r="N20" s="433">
        <v>13439.999999999991</v>
      </c>
      <c r="O20" s="433">
        <v>2609.9999999999973</v>
      </c>
      <c r="P20" s="433">
        <v>454.99999999999932</v>
      </c>
      <c r="Q20" s="433">
        <v>7499.9999999999973</v>
      </c>
      <c r="R20" s="433">
        <v>12719.999999999993</v>
      </c>
      <c r="S20" s="433">
        <v>4199.9999999999918</v>
      </c>
      <c r="T20" s="433">
        <v>0</v>
      </c>
      <c r="U20" s="433">
        <v>0</v>
      </c>
      <c r="V20" s="433">
        <v>0</v>
      </c>
      <c r="W20" s="433">
        <v>0</v>
      </c>
      <c r="X20" s="433">
        <v>0</v>
      </c>
      <c r="Y20" s="433">
        <v>0</v>
      </c>
      <c r="Z20" s="433">
        <v>18859.166666666624</v>
      </c>
      <c r="AA20" s="433">
        <v>0</v>
      </c>
      <c r="AB20" s="433">
        <v>75599.999999999884</v>
      </c>
      <c r="AC20" s="433">
        <v>0</v>
      </c>
      <c r="AD20" s="433">
        <v>0</v>
      </c>
      <c r="AE20" s="433">
        <v>0</v>
      </c>
      <c r="AF20" s="433">
        <v>152700</v>
      </c>
      <c r="AG20" s="433">
        <v>0</v>
      </c>
      <c r="AH20" s="433">
        <v>0</v>
      </c>
      <c r="AI20" s="433">
        <v>0</v>
      </c>
      <c r="AJ20" s="433">
        <v>15718.5</v>
      </c>
      <c r="AK20" s="433">
        <v>0</v>
      </c>
      <c r="AL20" s="433">
        <v>0</v>
      </c>
      <c r="AM20" s="433">
        <v>0</v>
      </c>
      <c r="AN20" s="433">
        <v>0</v>
      </c>
      <c r="AO20" s="433">
        <v>0</v>
      </c>
      <c r="AP20" s="433">
        <v>0</v>
      </c>
      <c r="AQ20" s="433">
        <v>0</v>
      </c>
      <c r="AR20" s="433">
        <v>0</v>
      </c>
      <c r="AS20" s="433">
        <v>646176</v>
      </c>
      <c r="AT20" s="433">
        <v>219419.16666666625</v>
      </c>
      <c r="AU20" s="433">
        <v>168418.5</v>
      </c>
      <c r="AV20" s="433">
        <v>155791.61624999985</v>
      </c>
      <c r="AW20" s="433">
        <v>1034013.6666666663</v>
      </c>
      <c r="AX20" s="434">
        <v>1018295.1666666663</v>
      </c>
      <c r="AY20" s="434">
        <v>5115</v>
      </c>
      <c r="AZ20" s="434">
        <v>813285</v>
      </c>
      <c r="BA20" s="434">
        <v>0</v>
      </c>
      <c r="BB20" s="434">
        <v>0</v>
      </c>
      <c r="BC20" s="434">
        <v>1034013.6666666663</v>
      </c>
      <c r="BD20" s="434">
        <v>1034013.6666666663</v>
      </c>
      <c r="BE20" s="433">
        <v>0</v>
      </c>
      <c r="BF20" s="433">
        <v>829003.5</v>
      </c>
      <c r="BG20" s="434">
        <v>660585</v>
      </c>
      <c r="BH20" s="434">
        <v>865595.16666666628</v>
      </c>
      <c r="BI20" s="433">
        <v>5443.994758909851</v>
      </c>
      <c r="BJ20" s="433">
        <v>5246.2467382352934</v>
      </c>
      <c r="BK20" s="433">
        <v>3.7693236811251307E-2</v>
      </c>
      <c r="BL20" s="435">
        <v>-1.061305513716088E-2</v>
      </c>
      <c r="BM20" s="433">
        <v>-8852.9142374706134</v>
      </c>
      <c r="BN20" s="433">
        <v>1025160.7524291957</v>
      </c>
      <c r="BO20" s="434">
        <v>6348.693411504375</v>
      </c>
      <c r="BP20" s="434" t="s">
        <v>768</v>
      </c>
      <c r="BQ20" s="434">
        <v>6447.5519020704132</v>
      </c>
      <c r="BR20" s="434">
        <v>3.5107752293251915E-2</v>
      </c>
      <c r="BS20" s="659">
        <v>-13999.949999999999</v>
      </c>
      <c r="BT20" s="433">
        <v>1011160.8024291957</v>
      </c>
      <c r="BU20" s="433">
        <v>0</v>
      </c>
      <c r="BV20" s="433">
        <v>1011160.8024291957</v>
      </c>
      <c r="BW20" s="433">
        <v>15718.5</v>
      </c>
      <c r="BX20" s="665">
        <v>995442.30242919573</v>
      </c>
      <c r="BY20" s="670"/>
      <c r="BZ20" s="380">
        <v>995442.30242919573</v>
      </c>
      <c r="CA20" s="380">
        <f t="shared" si="0"/>
        <v>0</v>
      </c>
    </row>
    <row r="21" spans="1:79" ht="14.5" x14ac:dyDescent="0.35">
      <c r="A21" s="430">
        <v>112749</v>
      </c>
      <c r="B21" s="430">
        <v>8312449</v>
      </c>
      <c r="C21" s="431" t="s">
        <v>72</v>
      </c>
      <c r="D21" s="430">
        <v>242</v>
      </c>
      <c r="E21" s="432">
        <v>242</v>
      </c>
      <c r="F21" s="432">
        <v>0</v>
      </c>
      <c r="G21" s="432">
        <v>983488</v>
      </c>
      <c r="H21" s="433">
        <v>0</v>
      </c>
      <c r="I21" s="433">
        <v>0</v>
      </c>
      <c r="J21" s="433">
        <v>31814.999999999913</v>
      </c>
      <c r="K21" s="433">
        <v>0</v>
      </c>
      <c r="L21" s="433">
        <v>77439.999999999884</v>
      </c>
      <c r="M21" s="433">
        <v>0</v>
      </c>
      <c r="N21" s="433">
        <v>10319.999999999991</v>
      </c>
      <c r="O21" s="433">
        <v>5220</v>
      </c>
      <c r="P21" s="433">
        <v>1819.9999999999991</v>
      </c>
      <c r="Q21" s="433">
        <v>0</v>
      </c>
      <c r="R21" s="433">
        <v>4770</v>
      </c>
      <c r="S21" s="433">
        <v>3499.999999999985</v>
      </c>
      <c r="T21" s="433">
        <v>0</v>
      </c>
      <c r="U21" s="433">
        <v>0</v>
      </c>
      <c r="V21" s="433">
        <v>0</v>
      </c>
      <c r="W21" s="433">
        <v>0</v>
      </c>
      <c r="X21" s="433">
        <v>0</v>
      </c>
      <c r="Y21" s="433">
        <v>0</v>
      </c>
      <c r="Z21" s="433">
        <v>21764.487179487118</v>
      </c>
      <c r="AA21" s="433">
        <v>0</v>
      </c>
      <c r="AB21" s="433">
        <v>85411.764705882189</v>
      </c>
      <c r="AC21" s="433">
        <v>0</v>
      </c>
      <c r="AD21" s="433">
        <v>0</v>
      </c>
      <c r="AE21" s="433">
        <v>0</v>
      </c>
      <c r="AF21" s="433">
        <v>152700</v>
      </c>
      <c r="AG21" s="433">
        <v>0</v>
      </c>
      <c r="AH21" s="433">
        <v>0</v>
      </c>
      <c r="AI21" s="433">
        <v>0</v>
      </c>
      <c r="AJ21" s="433">
        <v>21706.5</v>
      </c>
      <c r="AK21" s="433">
        <v>0</v>
      </c>
      <c r="AL21" s="433">
        <v>0</v>
      </c>
      <c r="AM21" s="433">
        <v>0</v>
      </c>
      <c r="AN21" s="433">
        <v>0</v>
      </c>
      <c r="AO21" s="433">
        <v>0</v>
      </c>
      <c r="AP21" s="433">
        <v>0</v>
      </c>
      <c r="AQ21" s="433">
        <v>0</v>
      </c>
      <c r="AR21" s="433">
        <v>0</v>
      </c>
      <c r="AS21" s="433">
        <v>983488</v>
      </c>
      <c r="AT21" s="433">
        <v>242061.25188536907</v>
      </c>
      <c r="AU21" s="433">
        <v>174406.5</v>
      </c>
      <c r="AV21" s="433">
        <v>204389.84667420792</v>
      </c>
      <c r="AW21" s="433">
        <v>1399955.751885369</v>
      </c>
      <c r="AX21" s="434">
        <v>1378249.251885369</v>
      </c>
      <c r="AY21" s="434">
        <v>5115</v>
      </c>
      <c r="AZ21" s="434">
        <v>1237830</v>
      </c>
      <c r="BA21" s="434">
        <v>0</v>
      </c>
      <c r="BB21" s="434">
        <v>0</v>
      </c>
      <c r="BC21" s="434">
        <v>1399955.751885369</v>
      </c>
      <c r="BD21" s="434">
        <v>1399955.751885369</v>
      </c>
      <c r="BE21" s="433">
        <v>0</v>
      </c>
      <c r="BF21" s="433">
        <v>1259536.5</v>
      </c>
      <c r="BG21" s="434">
        <v>1085130</v>
      </c>
      <c r="BH21" s="434">
        <v>1225549.251885369</v>
      </c>
      <c r="BI21" s="433">
        <v>5064.2531069643346</v>
      </c>
      <c r="BJ21" s="433">
        <v>5053.8111472972969</v>
      </c>
      <c r="BK21" s="433">
        <v>2.0661554938834507E-3</v>
      </c>
      <c r="BL21" s="435">
        <v>0</v>
      </c>
      <c r="BM21" s="433">
        <v>0</v>
      </c>
      <c r="BN21" s="433">
        <v>1399955.751885369</v>
      </c>
      <c r="BO21" s="434">
        <v>5695.2448425015245</v>
      </c>
      <c r="BP21" s="434" t="s">
        <v>768</v>
      </c>
      <c r="BQ21" s="434">
        <v>5784.9411234932604</v>
      </c>
      <c r="BR21" s="434">
        <v>-8.5293769786666251E-3</v>
      </c>
      <c r="BS21" s="659">
        <v>-21308.1</v>
      </c>
      <c r="BT21" s="433">
        <v>1378647.6518853689</v>
      </c>
      <c r="BU21" s="433">
        <v>0</v>
      </c>
      <c r="BV21" s="433">
        <v>1378647.6518853689</v>
      </c>
      <c r="BW21" s="433">
        <v>21706.5</v>
      </c>
      <c r="BX21" s="665">
        <v>1356941.1518853689</v>
      </c>
      <c r="BY21" s="670"/>
      <c r="BZ21" s="380">
        <v>1356941.1518853689</v>
      </c>
      <c r="CA21" s="380">
        <f t="shared" si="0"/>
        <v>0</v>
      </c>
    </row>
    <row r="22" spans="1:79" ht="14.5" x14ac:dyDescent="0.35">
      <c r="A22" s="430">
        <v>112752</v>
      </c>
      <c r="B22" s="430">
        <v>8312452</v>
      </c>
      <c r="C22" s="431" t="s">
        <v>73</v>
      </c>
      <c r="D22" s="430">
        <v>139</v>
      </c>
      <c r="E22" s="432">
        <v>139</v>
      </c>
      <c r="F22" s="432">
        <v>0</v>
      </c>
      <c r="G22" s="432">
        <v>564896</v>
      </c>
      <c r="H22" s="433">
        <v>0</v>
      </c>
      <c r="I22" s="433">
        <v>0</v>
      </c>
      <c r="J22" s="433">
        <v>41409.999999999942</v>
      </c>
      <c r="K22" s="433">
        <v>0</v>
      </c>
      <c r="L22" s="433">
        <v>100429.99999999993</v>
      </c>
      <c r="M22" s="433">
        <v>0</v>
      </c>
      <c r="N22" s="433">
        <v>2399.9999999999973</v>
      </c>
      <c r="O22" s="433">
        <v>3769.9999999999995</v>
      </c>
      <c r="P22" s="433">
        <v>2274.9999999999977</v>
      </c>
      <c r="Q22" s="433">
        <v>25499.999999999938</v>
      </c>
      <c r="R22" s="433">
        <v>0</v>
      </c>
      <c r="S22" s="433">
        <v>6999.9999999999927</v>
      </c>
      <c r="T22" s="433">
        <v>0</v>
      </c>
      <c r="U22" s="433">
        <v>0</v>
      </c>
      <c r="V22" s="433">
        <v>0</v>
      </c>
      <c r="W22" s="433">
        <v>0</v>
      </c>
      <c r="X22" s="433">
        <v>0</v>
      </c>
      <c r="Y22" s="433">
        <v>0</v>
      </c>
      <c r="Z22" s="433">
        <v>14359.596774193513</v>
      </c>
      <c r="AA22" s="433">
        <v>0</v>
      </c>
      <c r="AB22" s="433">
        <v>53956.995508864864</v>
      </c>
      <c r="AC22" s="433">
        <v>0</v>
      </c>
      <c r="AD22" s="433">
        <v>0</v>
      </c>
      <c r="AE22" s="433">
        <v>0</v>
      </c>
      <c r="AF22" s="433">
        <v>152700</v>
      </c>
      <c r="AG22" s="433">
        <v>0</v>
      </c>
      <c r="AH22" s="433">
        <v>0</v>
      </c>
      <c r="AI22" s="433">
        <v>0</v>
      </c>
      <c r="AJ22" s="433">
        <v>20608.7</v>
      </c>
      <c r="AK22" s="433">
        <v>0</v>
      </c>
      <c r="AL22" s="433">
        <v>0</v>
      </c>
      <c r="AM22" s="433">
        <v>0</v>
      </c>
      <c r="AN22" s="433">
        <v>0</v>
      </c>
      <c r="AO22" s="433">
        <v>0</v>
      </c>
      <c r="AP22" s="433">
        <v>0</v>
      </c>
      <c r="AQ22" s="433">
        <v>0</v>
      </c>
      <c r="AR22" s="433">
        <v>0</v>
      </c>
      <c r="AS22" s="433">
        <v>564896</v>
      </c>
      <c r="AT22" s="433">
        <v>251101.59228305821</v>
      </c>
      <c r="AU22" s="433">
        <v>173308.7</v>
      </c>
      <c r="AV22" s="433">
        <v>156990.0919249393</v>
      </c>
      <c r="AW22" s="433">
        <v>989306.29228305817</v>
      </c>
      <c r="AX22" s="434">
        <v>968697.59228305821</v>
      </c>
      <c r="AY22" s="434">
        <v>5115</v>
      </c>
      <c r="AZ22" s="434">
        <v>710985</v>
      </c>
      <c r="BA22" s="434">
        <v>0</v>
      </c>
      <c r="BB22" s="434">
        <v>0</v>
      </c>
      <c r="BC22" s="434">
        <v>989306.29228305817</v>
      </c>
      <c r="BD22" s="434">
        <v>989306.29228305817</v>
      </c>
      <c r="BE22" s="433">
        <v>0</v>
      </c>
      <c r="BF22" s="433">
        <v>731593.7</v>
      </c>
      <c r="BG22" s="434">
        <v>558285</v>
      </c>
      <c r="BH22" s="434">
        <v>815997.59228305821</v>
      </c>
      <c r="BI22" s="433">
        <v>5870.4862754176847</v>
      </c>
      <c r="BJ22" s="433">
        <v>5487.820219078948</v>
      </c>
      <c r="BK22" s="433">
        <v>6.9730064226295269E-2</v>
      </c>
      <c r="BL22" s="435">
        <v>-3.2141803160070419E-2</v>
      </c>
      <c r="BM22" s="433">
        <v>-24517.992779069122</v>
      </c>
      <c r="BN22" s="433">
        <v>964788.29950398905</v>
      </c>
      <c r="BO22" s="434">
        <v>6792.6589892373313</v>
      </c>
      <c r="BP22" s="434" t="s">
        <v>768</v>
      </c>
      <c r="BQ22" s="434">
        <v>6940.9230180143095</v>
      </c>
      <c r="BR22" s="434">
        <v>5.0488833106853814E-2</v>
      </c>
      <c r="BS22" s="659">
        <v>-12238.949999999999</v>
      </c>
      <c r="BT22" s="433">
        <v>952549.3495039891</v>
      </c>
      <c r="BU22" s="433">
        <v>0</v>
      </c>
      <c r="BV22" s="433">
        <v>952549.3495039891</v>
      </c>
      <c r="BW22" s="433">
        <v>20608.7</v>
      </c>
      <c r="BX22" s="665">
        <v>931940.64950398915</v>
      </c>
      <c r="BY22" s="670"/>
      <c r="BZ22" s="380">
        <v>931940.64950398915</v>
      </c>
      <c r="CA22" s="380">
        <f t="shared" si="0"/>
        <v>0</v>
      </c>
    </row>
    <row r="23" spans="1:79" ht="14.5" x14ac:dyDescent="0.35">
      <c r="A23" s="430">
        <v>112756</v>
      </c>
      <c r="B23" s="430">
        <v>8312457</v>
      </c>
      <c r="C23" s="431" t="s">
        <v>74</v>
      </c>
      <c r="D23" s="430">
        <v>358</v>
      </c>
      <c r="E23" s="432">
        <v>358</v>
      </c>
      <c r="F23" s="432">
        <v>0</v>
      </c>
      <c r="G23" s="432">
        <v>1454912</v>
      </c>
      <c r="H23" s="433">
        <v>0</v>
      </c>
      <c r="I23" s="433">
        <v>0</v>
      </c>
      <c r="J23" s="433">
        <v>58579.999999999985</v>
      </c>
      <c r="K23" s="433">
        <v>0</v>
      </c>
      <c r="L23" s="433">
        <v>145199.99999999959</v>
      </c>
      <c r="M23" s="433">
        <v>0</v>
      </c>
      <c r="N23" s="433">
        <v>239.9999999999996</v>
      </c>
      <c r="O23" s="433">
        <v>16819.999999999945</v>
      </c>
      <c r="P23" s="433">
        <v>1820</v>
      </c>
      <c r="Q23" s="433">
        <v>499.99999999999915</v>
      </c>
      <c r="R23" s="433">
        <v>12189.999999999995</v>
      </c>
      <c r="S23" s="433">
        <v>0</v>
      </c>
      <c r="T23" s="433">
        <v>0</v>
      </c>
      <c r="U23" s="433">
        <v>0</v>
      </c>
      <c r="V23" s="433">
        <v>0</v>
      </c>
      <c r="W23" s="433">
        <v>0</v>
      </c>
      <c r="X23" s="433">
        <v>0</v>
      </c>
      <c r="Y23" s="433">
        <v>0</v>
      </c>
      <c r="Z23" s="433">
        <v>32939.999999999862</v>
      </c>
      <c r="AA23" s="433">
        <v>0</v>
      </c>
      <c r="AB23" s="433">
        <v>174271.66039947007</v>
      </c>
      <c r="AC23" s="433">
        <v>0</v>
      </c>
      <c r="AD23" s="433">
        <v>0</v>
      </c>
      <c r="AE23" s="433">
        <v>0</v>
      </c>
      <c r="AF23" s="433">
        <v>152700</v>
      </c>
      <c r="AG23" s="433">
        <v>0</v>
      </c>
      <c r="AH23" s="433">
        <v>0</v>
      </c>
      <c r="AI23" s="433">
        <v>0</v>
      </c>
      <c r="AJ23" s="433">
        <v>28938</v>
      </c>
      <c r="AK23" s="433">
        <v>0</v>
      </c>
      <c r="AL23" s="433">
        <v>0</v>
      </c>
      <c r="AM23" s="433">
        <v>0</v>
      </c>
      <c r="AN23" s="433">
        <v>0</v>
      </c>
      <c r="AO23" s="433">
        <v>0</v>
      </c>
      <c r="AP23" s="433">
        <v>0</v>
      </c>
      <c r="AQ23" s="433">
        <v>0</v>
      </c>
      <c r="AR23" s="433">
        <v>0</v>
      </c>
      <c r="AS23" s="433">
        <v>1454912</v>
      </c>
      <c r="AT23" s="433">
        <v>442561.66039946949</v>
      </c>
      <c r="AU23" s="433">
        <v>181638</v>
      </c>
      <c r="AV23" s="433">
        <v>332173.54529081297</v>
      </c>
      <c r="AW23" s="433">
        <v>2079111.6603994695</v>
      </c>
      <c r="AX23" s="434">
        <v>2050173.6603994695</v>
      </c>
      <c r="AY23" s="434">
        <v>5115</v>
      </c>
      <c r="AZ23" s="434">
        <v>1831170</v>
      </c>
      <c r="BA23" s="434">
        <v>0</v>
      </c>
      <c r="BB23" s="434">
        <v>0</v>
      </c>
      <c r="BC23" s="434">
        <v>2079111.6603994695</v>
      </c>
      <c r="BD23" s="434">
        <v>2079111.6603994693</v>
      </c>
      <c r="BE23" s="433">
        <v>0</v>
      </c>
      <c r="BF23" s="433">
        <v>1860108</v>
      </c>
      <c r="BG23" s="434">
        <v>1678470</v>
      </c>
      <c r="BH23" s="434">
        <v>1897473.6603994695</v>
      </c>
      <c r="BI23" s="433">
        <v>5300.2057553057812</v>
      </c>
      <c r="BJ23" s="433">
        <v>4979.5290069832399</v>
      </c>
      <c r="BK23" s="433">
        <v>6.4399012009534934E-2</v>
      </c>
      <c r="BL23" s="435">
        <v>-2.8559336070407476E-2</v>
      </c>
      <c r="BM23" s="433">
        <v>-50911.911173034081</v>
      </c>
      <c r="BN23" s="433">
        <v>2028199.7492264356</v>
      </c>
      <c r="BO23" s="434">
        <v>5584.5300257721665</v>
      </c>
      <c r="BP23" s="434" t="s">
        <v>768</v>
      </c>
      <c r="BQ23" s="434">
        <v>5665.3624280068034</v>
      </c>
      <c r="BR23" s="434">
        <v>3.4710065484595543E-2</v>
      </c>
      <c r="BS23" s="659">
        <v>-31521.899999999998</v>
      </c>
      <c r="BT23" s="433">
        <v>1996677.8492264356</v>
      </c>
      <c r="BU23" s="433">
        <v>0</v>
      </c>
      <c r="BV23" s="433">
        <v>1996677.8492264356</v>
      </c>
      <c r="BW23" s="433">
        <v>28938</v>
      </c>
      <c r="BX23" s="665">
        <v>1967739.8492264356</v>
      </c>
      <c r="BY23" s="670"/>
      <c r="BZ23" s="380">
        <v>1967739.8492264356</v>
      </c>
      <c r="CA23" s="380">
        <f t="shared" si="0"/>
        <v>0</v>
      </c>
    </row>
    <row r="24" spans="1:79" ht="14.5" x14ac:dyDescent="0.35">
      <c r="A24" s="430">
        <v>112757</v>
      </c>
      <c r="B24" s="430">
        <v>8312458</v>
      </c>
      <c r="C24" s="431" t="s">
        <v>75</v>
      </c>
      <c r="D24" s="430">
        <v>231</v>
      </c>
      <c r="E24" s="432">
        <v>231</v>
      </c>
      <c r="F24" s="432">
        <v>0</v>
      </c>
      <c r="G24" s="432">
        <v>938784</v>
      </c>
      <c r="H24" s="433">
        <v>0</v>
      </c>
      <c r="I24" s="433">
        <v>0</v>
      </c>
      <c r="J24" s="433">
        <v>26259.999999999989</v>
      </c>
      <c r="K24" s="433">
        <v>0</v>
      </c>
      <c r="L24" s="433">
        <v>62919.999999999971</v>
      </c>
      <c r="M24" s="433">
        <v>0</v>
      </c>
      <c r="N24" s="433">
        <v>482.0869565217389</v>
      </c>
      <c r="O24" s="433">
        <v>13689.260869565183</v>
      </c>
      <c r="P24" s="433">
        <v>3198.8478260869515</v>
      </c>
      <c r="Q24" s="433">
        <v>2510.8695652173901</v>
      </c>
      <c r="R24" s="433">
        <v>5855.3478260869515</v>
      </c>
      <c r="S24" s="433">
        <v>0</v>
      </c>
      <c r="T24" s="433">
        <v>0</v>
      </c>
      <c r="U24" s="433">
        <v>0</v>
      </c>
      <c r="V24" s="433">
        <v>0</v>
      </c>
      <c r="W24" s="433">
        <v>0</v>
      </c>
      <c r="X24" s="433">
        <v>0</v>
      </c>
      <c r="Y24" s="433">
        <v>0</v>
      </c>
      <c r="Z24" s="433">
        <v>90770.245398772968</v>
      </c>
      <c r="AA24" s="433">
        <v>0</v>
      </c>
      <c r="AB24" s="433">
        <v>115356.52173913033</v>
      </c>
      <c r="AC24" s="433">
        <v>0</v>
      </c>
      <c r="AD24" s="433">
        <v>0</v>
      </c>
      <c r="AE24" s="433">
        <v>0</v>
      </c>
      <c r="AF24" s="433">
        <v>152700</v>
      </c>
      <c r="AG24" s="433">
        <v>0</v>
      </c>
      <c r="AH24" s="433">
        <v>0</v>
      </c>
      <c r="AI24" s="433">
        <v>0</v>
      </c>
      <c r="AJ24" s="433">
        <v>15344.25</v>
      </c>
      <c r="AK24" s="433">
        <v>0</v>
      </c>
      <c r="AL24" s="433">
        <v>0</v>
      </c>
      <c r="AM24" s="433">
        <v>0</v>
      </c>
      <c r="AN24" s="433">
        <v>0</v>
      </c>
      <c r="AO24" s="433">
        <v>0</v>
      </c>
      <c r="AP24" s="433">
        <v>0</v>
      </c>
      <c r="AQ24" s="433">
        <v>0</v>
      </c>
      <c r="AR24" s="433">
        <v>0</v>
      </c>
      <c r="AS24" s="433">
        <v>938784</v>
      </c>
      <c r="AT24" s="433">
        <v>321043.18018138147</v>
      </c>
      <c r="AU24" s="433">
        <v>168044.25</v>
      </c>
      <c r="AV24" s="433">
        <v>230178.77279307807</v>
      </c>
      <c r="AW24" s="433">
        <v>1427871.4301813815</v>
      </c>
      <c r="AX24" s="434">
        <v>1412527.1801813815</v>
      </c>
      <c r="AY24" s="434">
        <v>5115</v>
      </c>
      <c r="AZ24" s="434">
        <v>1181565</v>
      </c>
      <c r="BA24" s="434">
        <v>0</v>
      </c>
      <c r="BB24" s="434">
        <v>0</v>
      </c>
      <c r="BC24" s="434">
        <v>1427871.4301813815</v>
      </c>
      <c r="BD24" s="434">
        <v>1427871.4301813815</v>
      </c>
      <c r="BE24" s="433">
        <v>0</v>
      </c>
      <c r="BF24" s="433">
        <v>1196909.25</v>
      </c>
      <c r="BG24" s="434">
        <v>1028865</v>
      </c>
      <c r="BH24" s="434">
        <v>1259827.1801813815</v>
      </c>
      <c r="BI24" s="433">
        <v>5453.7973168025173</v>
      </c>
      <c r="BJ24" s="433">
        <v>5124.5669956000002</v>
      </c>
      <c r="BK24" s="433">
        <v>6.4245490689300647E-2</v>
      </c>
      <c r="BL24" s="435">
        <v>-2.8456169743210035E-2</v>
      </c>
      <c r="BM24" s="433">
        <v>-33685.701654353703</v>
      </c>
      <c r="BN24" s="433">
        <v>1394185.7285270279</v>
      </c>
      <c r="BO24" s="434">
        <v>5969.010729554233</v>
      </c>
      <c r="BP24" s="434" t="s">
        <v>768</v>
      </c>
      <c r="BQ24" s="434">
        <v>6035.4360542295581</v>
      </c>
      <c r="BR24" s="434">
        <v>4.117709872780928E-2</v>
      </c>
      <c r="BS24" s="659">
        <v>-20339.55</v>
      </c>
      <c r="BT24" s="433">
        <v>1373846.1785270278</v>
      </c>
      <c r="BU24" s="433">
        <v>0</v>
      </c>
      <c r="BV24" s="433">
        <v>1373846.1785270278</v>
      </c>
      <c r="BW24" s="433">
        <v>15344.25</v>
      </c>
      <c r="BX24" s="665">
        <v>1358501.9285270278</v>
      </c>
      <c r="BY24" s="670"/>
      <c r="BZ24" s="380">
        <v>1358501.9285270278</v>
      </c>
      <c r="CA24" s="380">
        <f t="shared" si="0"/>
        <v>0</v>
      </c>
    </row>
    <row r="25" spans="1:79" ht="14.5" x14ac:dyDescent="0.35">
      <c r="A25" s="430">
        <v>112758</v>
      </c>
      <c r="B25" s="430">
        <v>8312459</v>
      </c>
      <c r="C25" s="431" t="s">
        <v>76</v>
      </c>
      <c r="D25" s="430">
        <v>358</v>
      </c>
      <c r="E25" s="432">
        <v>358</v>
      </c>
      <c r="F25" s="432">
        <v>0</v>
      </c>
      <c r="G25" s="432">
        <v>1454912</v>
      </c>
      <c r="H25" s="433">
        <v>0</v>
      </c>
      <c r="I25" s="433">
        <v>0</v>
      </c>
      <c r="J25" s="433">
        <v>16664.999999999985</v>
      </c>
      <c r="K25" s="433">
        <v>0</v>
      </c>
      <c r="L25" s="433">
        <v>45979.999999999985</v>
      </c>
      <c r="M25" s="433">
        <v>0</v>
      </c>
      <c r="N25" s="433">
        <v>719.99999999999955</v>
      </c>
      <c r="O25" s="433">
        <v>3769.9999999999923</v>
      </c>
      <c r="P25" s="433">
        <v>454.99999999999926</v>
      </c>
      <c r="Q25" s="433">
        <v>1499.9999999999991</v>
      </c>
      <c r="R25" s="433">
        <v>1060</v>
      </c>
      <c r="S25" s="433">
        <v>0</v>
      </c>
      <c r="T25" s="433">
        <v>0</v>
      </c>
      <c r="U25" s="433">
        <v>0</v>
      </c>
      <c r="V25" s="433">
        <v>0</v>
      </c>
      <c r="W25" s="433">
        <v>0</v>
      </c>
      <c r="X25" s="433">
        <v>0</v>
      </c>
      <c r="Y25" s="433">
        <v>0</v>
      </c>
      <c r="Z25" s="433">
        <v>9217.3376623376607</v>
      </c>
      <c r="AA25" s="433">
        <v>0</v>
      </c>
      <c r="AB25" s="433">
        <v>130072.5697396286</v>
      </c>
      <c r="AC25" s="433">
        <v>0</v>
      </c>
      <c r="AD25" s="433">
        <v>0</v>
      </c>
      <c r="AE25" s="433">
        <v>0</v>
      </c>
      <c r="AF25" s="433">
        <v>152700</v>
      </c>
      <c r="AG25" s="433">
        <v>0</v>
      </c>
      <c r="AH25" s="433">
        <v>0</v>
      </c>
      <c r="AI25" s="433">
        <v>0</v>
      </c>
      <c r="AJ25" s="433">
        <v>21082.75</v>
      </c>
      <c r="AK25" s="433">
        <v>0</v>
      </c>
      <c r="AL25" s="433">
        <v>0</v>
      </c>
      <c r="AM25" s="433">
        <v>0</v>
      </c>
      <c r="AN25" s="433">
        <v>0</v>
      </c>
      <c r="AO25" s="433">
        <v>0</v>
      </c>
      <c r="AP25" s="433">
        <v>0</v>
      </c>
      <c r="AQ25" s="433">
        <v>0</v>
      </c>
      <c r="AR25" s="433">
        <v>0</v>
      </c>
      <c r="AS25" s="433">
        <v>1454912</v>
      </c>
      <c r="AT25" s="433">
        <v>209439.90740196622</v>
      </c>
      <c r="AU25" s="433">
        <v>173782.75</v>
      </c>
      <c r="AV25" s="433">
        <v>248859.4395669853</v>
      </c>
      <c r="AW25" s="433">
        <v>1838134.6574019662</v>
      </c>
      <c r="AX25" s="434">
        <v>1817051.9074019662</v>
      </c>
      <c r="AY25" s="434">
        <v>5115</v>
      </c>
      <c r="AZ25" s="434">
        <v>1831170</v>
      </c>
      <c r="BA25" s="434">
        <v>14118.092598033836</v>
      </c>
      <c r="BB25" s="434">
        <v>0</v>
      </c>
      <c r="BC25" s="434">
        <v>1852252.75</v>
      </c>
      <c r="BD25" s="434">
        <v>1852252.75</v>
      </c>
      <c r="BE25" s="433">
        <v>0</v>
      </c>
      <c r="BF25" s="433">
        <v>1852252.75</v>
      </c>
      <c r="BG25" s="434">
        <v>1678470</v>
      </c>
      <c r="BH25" s="434">
        <v>1678470</v>
      </c>
      <c r="BI25" s="433">
        <v>4688.4636871508383</v>
      </c>
      <c r="BJ25" s="433">
        <v>4690.2154696132593</v>
      </c>
      <c r="BK25" s="433">
        <v>-3.7349722497194356E-4</v>
      </c>
      <c r="BL25" s="435">
        <v>3.7349722497194356E-4</v>
      </c>
      <c r="BM25" s="433">
        <v>627.13812154672996</v>
      </c>
      <c r="BN25" s="433">
        <v>1852879.8881215467</v>
      </c>
      <c r="BO25" s="434">
        <v>5116.751782462421</v>
      </c>
      <c r="BP25" s="434" t="s">
        <v>768</v>
      </c>
      <c r="BQ25" s="434">
        <v>5175.6421455909122</v>
      </c>
      <c r="BR25" s="434">
        <v>1.0373018671370193E-3</v>
      </c>
      <c r="BS25" s="659">
        <v>-31521.899999999998</v>
      </c>
      <c r="BT25" s="433">
        <v>1821357.9881215468</v>
      </c>
      <c r="BU25" s="433">
        <v>0</v>
      </c>
      <c r="BV25" s="433">
        <v>1821357.9881215468</v>
      </c>
      <c r="BW25" s="433">
        <v>21082.75</v>
      </c>
      <c r="BX25" s="665">
        <v>1800275.2381215468</v>
      </c>
      <c r="BY25" s="670"/>
      <c r="BZ25" s="380">
        <v>1800275.2381215468</v>
      </c>
      <c r="CA25" s="380">
        <f t="shared" si="0"/>
        <v>0</v>
      </c>
    </row>
    <row r="26" spans="1:79" ht="14.5" x14ac:dyDescent="0.35">
      <c r="A26" s="430">
        <v>112759</v>
      </c>
      <c r="B26" s="430">
        <v>8312462</v>
      </c>
      <c r="C26" s="431" t="s">
        <v>77</v>
      </c>
      <c r="D26" s="430">
        <v>226</v>
      </c>
      <c r="E26" s="432">
        <v>226</v>
      </c>
      <c r="F26" s="432">
        <v>0</v>
      </c>
      <c r="G26" s="432">
        <v>918464</v>
      </c>
      <c r="H26" s="433">
        <v>0</v>
      </c>
      <c r="I26" s="433">
        <v>0</v>
      </c>
      <c r="J26" s="433">
        <v>26764.999999999978</v>
      </c>
      <c r="K26" s="433">
        <v>0</v>
      </c>
      <c r="L26" s="433">
        <v>64129.999999999949</v>
      </c>
      <c r="M26" s="433">
        <v>0</v>
      </c>
      <c r="N26" s="433">
        <v>4098.1333333333305</v>
      </c>
      <c r="O26" s="433">
        <v>2330.3111111111075</v>
      </c>
      <c r="P26" s="433">
        <v>457.02222222222173</v>
      </c>
      <c r="Q26" s="433">
        <v>2511.1111111111086</v>
      </c>
      <c r="R26" s="433">
        <v>1064.7111111111099</v>
      </c>
      <c r="S26" s="433">
        <v>2109.333333333328</v>
      </c>
      <c r="T26" s="433">
        <v>0</v>
      </c>
      <c r="U26" s="433">
        <v>0</v>
      </c>
      <c r="V26" s="433">
        <v>0</v>
      </c>
      <c r="W26" s="433">
        <v>0</v>
      </c>
      <c r="X26" s="433">
        <v>0</v>
      </c>
      <c r="Y26" s="433">
        <v>0</v>
      </c>
      <c r="Z26" s="433">
        <v>13694.701986754959</v>
      </c>
      <c r="AA26" s="433">
        <v>0</v>
      </c>
      <c r="AB26" s="433">
        <v>84865.306122448921</v>
      </c>
      <c r="AC26" s="433">
        <v>0</v>
      </c>
      <c r="AD26" s="433">
        <v>0</v>
      </c>
      <c r="AE26" s="433">
        <v>0</v>
      </c>
      <c r="AF26" s="433">
        <v>152700</v>
      </c>
      <c r="AG26" s="433">
        <v>0</v>
      </c>
      <c r="AH26" s="433">
        <v>0</v>
      </c>
      <c r="AI26" s="433">
        <v>0</v>
      </c>
      <c r="AJ26" s="433">
        <v>63882</v>
      </c>
      <c r="AK26" s="433">
        <v>0</v>
      </c>
      <c r="AL26" s="433">
        <v>0</v>
      </c>
      <c r="AM26" s="433">
        <v>0</v>
      </c>
      <c r="AN26" s="433">
        <v>0</v>
      </c>
      <c r="AO26" s="433">
        <v>0</v>
      </c>
      <c r="AP26" s="433">
        <v>0</v>
      </c>
      <c r="AQ26" s="433">
        <v>0</v>
      </c>
      <c r="AR26" s="433">
        <v>0</v>
      </c>
      <c r="AS26" s="433">
        <v>918464</v>
      </c>
      <c r="AT26" s="433">
        <v>202025.63033142601</v>
      </c>
      <c r="AU26" s="433">
        <v>216582</v>
      </c>
      <c r="AV26" s="433">
        <v>182087.06038719192</v>
      </c>
      <c r="AW26" s="433">
        <v>1337071.6303314259</v>
      </c>
      <c r="AX26" s="434">
        <v>1273189.6303314259</v>
      </c>
      <c r="AY26" s="434">
        <v>5115</v>
      </c>
      <c r="AZ26" s="434">
        <v>1155990</v>
      </c>
      <c r="BA26" s="434">
        <v>0</v>
      </c>
      <c r="BB26" s="434">
        <v>0</v>
      </c>
      <c r="BC26" s="434">
        <v>1337071.6303314259</v>
      </c>
      <c r="BD26" s="434">
        <v>1337071.6303314262</v>
      </c>
      <c r="BE26" s="433">
        <v>0</v>
      </c>
      <c r="BF26" s="433">
        <v>1219872</v>
      </c>
      <c r="BG26" s="434">
        <v>1003290</v>
      </c>
      <c r="BH26" s="434">
        <v>1120489.6303314259</v>
      </c>
      <c r="BI26" s="433">
        <v>4957.9187182806454</v>
      </c>
      <c r="BJ26" s="433">
        <v>4913.3182873949581</v>
      </c>
      <c r="BK26" s="433">
        <v>9.077456064694402E-3</v>
      </c>
      <c r="BL26" s="435">
        <v>0</v>
      </c>
      <c r="BM26" s="433">
        <v>0</v>
      </c>
      <c r="BN26" s="433">
        <v>1337071.6303314259</v>
      </c>
      <c r="BO26" s="434">
        <v>5633.5824350948051</v>
      </c>
      <c r="BP26" s="434" t="s">
        <v>768</v>
      </c>
      <c r="BQ26" s="434">
        <v>5916.2461519089638</v>
      </c>
      <c r="BR26" s="434">
        <v>2.0078093649785744E-2</v>
      </c>
      <c r="BS26" s="659">
        <v>-19899.3</v>
      </c>
      <c r="BT26" s="433">
        <v>1317172.3303314259</v>
      </c>
      <c r="BU26" s="433">
        <v>0</v>
      </c>
      <c r="BV26" s="433">
        <v>1317172.3303314259</v>
      </c>
      <c r="BW26" s="433">
        <v>63882</v>
      </c>
      <c r="BX26" s="665">
        <v>1253290.3303314259</v>
      </c>
      <c r="BY26" s="670"/>
      <c r="BZ26" s="380">
        <v>1253290.3303314259</v>
      </c>
      <c r="CA26" s="380">
        <f t="shared" si="0"/>
        <v>0</v>
      </c>
    </row>
    <row r="27" spans="1:79" ht="14.5" x14ac:dyDescent="0.35">
      <c r="A27" s="430">
        <v>112765</v>
      </c>
      <c r="B27" s="430">
        <v>8312469</v>
      </c>
      <c r="C27" s="431" t="s">
        <v>78</v>
      </c>
      <c r="D27" s="430">
        <v>421</v>
      </c>
      <c r="E27" s="432">
        <v>421</v>
      </c>
      <c r="F27" s="432">
        <v>0</v>
      </c>
      <c r="G27" s="432">
        <v>1710944</v>
      </c>
      <c r="H27" s="433">
        <v>0</v>
      </c>
      <c r="I27" s="433">
        <v>0</v>
      </c>
      <c r="J27" s="433">
        <v>11109.999999999996</v>
      </c>
      <c r="K27" s="433">
        <v>0</v>
      </c>
      <c r="L27" s="433">
        <v>26619.999999999993</v>
      </c>
      <c r="M27" s="433">
        <v>0</v>
      </c>
      <c r="N27" s="433">
        <v>3360</v>
      </c>
      <c r="O27" s="433">
        <v>289.99999999999949</v>
      </c>
      <c r="P27" s="433">
        <v>0</v>
      </c>
      <c r="Q27" s="433">
        <v>999.99999999999818</v>
      </c>
      <c r="R27" s="433">
        <v>0</v>
      </c>
      <c r="S27" s="433">
        <v>0</v>
      </c>
      <c r="T27" s="433">
        <v>0</v>
      </c>
      <c r="U27" s="433">
        <v>0</v>
      </c>
      <c r="V27" s="433">
        <v>0</v>
      </c>
      <c r="W27" s="433">
        <v>0</v>
      </c>
      <c r="X27" s="433">
        <v>0</v>
      </c>
      <c r="Y27" s="433">
        <v>0</v>
      </c>
      <c r="Z27" s="433">
        <v>8754.8863636363385</v>
      </c>
      <c r="AA27" s="433">
        <v>0</v>
      </c>
      <c r="AB27" s="433">
        <v>158081.78725135731</v>
      </c>
      <c r="AC27" s="433">
        <v>0</v>
      </c>
      <c r="AD27" s="433">
        <v>0</v>
      </c>
      <c r="AE27" s="433">
        <v>0</v>
      </c>
      <c r="AF27" s="433">
        <v>152700</v>
      </c>
      <c r="AG27" s="433">
        <v>0</v>
      </c>
      <c r="AH27" s="433">
        <v>0</v>
      </c>
      <c r="AI27" s="433">
        <v>0</v>
      </c>
      <c r="AJ27" s="433">
        <v>20459</v>
      </c>
      <c r="AK27" s="433">
        <v>0</v>
      </c>
      <c r="AL27" s="433">
        <v>0</v>
      </c>
      <c r="AM27" s="433">
        <v>0</v>
      </c>
      <c r="AN27" s="433">
        <v>0</v>
      </c>
      <c r="AO27" s="433">
        <v>0</v>
      </c>
      <c r="AP27" s="433">
        <v>0</v>
      </c>
      <c r="AQ27" s="433">
        <v>0</v>
      </c>
      <c r="AR27" s="433">
        <v>0</v>
      </c>
      <c r="AS27" s="433">
        <v>1710944</v>
      </c>
      <c r="AT27" s="433">
        <v>209216.67361499363</v>
      </c>
      <c r="AU27" s="433">
        <v>173159</v>
      </c>
      <c r="AV27" s="433">
        <v>279482.39199473977</v>
      </c>
      <c r="AW27" s="433">
        <v>2093319.6736149937</v>
      </c>
      <c r="AX27" s="434">
        <v>2072860.6736149937</v>
      </c>
      <c r="AY27" s="434">
        <v>5115</v>
      </c>
      <c r="AZ27" s="434">
        <v>2153415</v>
      </c>
      <c r="BA27" s="434">
        <v>80554.326385006309</v>
      </c>
      <c r="BB27" s="434">
        <v>0</v>
      </c>
      <c r="BC27" s="434">
        <v>2173874</v>
      </c>
      <c r="BD27" s="434">
        <v>2173874</v>
      </c>
      <c r="BE27" s="433">
        <v>0</v>
      </c>
      <c r="BF27" s="433">
        <v>2173874</v>
      </c>
      <c r="BG27" s="434">
        <v>2000715</v>
      </c>
      <c r="BH27" s="434">
        <v>2000715</v>
      </c>
      <c r="BI27" s="433">
        <v>4752.2921615201903</v>
      </c>
      <c r="BJ27" s="433">
        <v>4745.0964705882352</v>
      </c>
      <c r="BK27" s="433">
        <v>1.5164477638245179E-3</v>
      </c>
      <c r="BL27" s="435">
        <v>0</v>
      </c>
      <c r="BM27" s="433">
        <v>0</v>
      </c>
      <c r="BN27" s="433">
        <v>2173874</v>
      </c>
      <c r="BO27" s="434">
        <v>5115</v>
      </c>
      <c r="BP27" s="434" t="s">
        <v>768</v>
      </c>
      <c r="BQ27" s="434">
        <v>5163.5961995249409</v>
      </c>
      <c r="BR27" s="434">
        <v>2.1478359220941101E-3</v>
      </c>
      <c r="BS27" s="659">
        <v>-37069.049999999996</v>
      </c>
      <c r="BT27" s="433">
        <v>2136804.9500000002</v>
      </c>
      <c r="BU27" s="433">
        <v>0</v>
      </c>
      <c r="BV27" s="433">
        <v>2136804.9500000002</v>
      </c>
      <c r="BW27" s="433">
        <v>20459</v>
      </c>
      <c r="BX27" s="665">
        <v>2116345.9500000002</v>
      </c>
      <c r="BY27" s="670"/>
      <c r="BZ27" s="380">
        <v>2116345.9500000002</v>
      </c>
      <c r="CA27" s="380">
        <f t="shared" si="0"/>
        <v>0</v>
      </c>
    </row>
    <row r="28" spans="1:79" ht="14.5" x14ac:dyDescent="0.35">
      <c r="A28" s="430">
        <v>112767</v>
      </c>
      <c r="B28" s="430">
        <v>8312473</v>
      </c>
      <c r="C28" s="431" t="s">
        <v>79</v>
      </c>
      <c r="D28" s="430">
        <v>242</v>
      </c>
      <c r="E28" s="432">
        <v>242</v>
      </c>
      <c r="F28" s="432">
        <v>0</v>
      </c>
      <c r="G28" s="432">
        <v>983488</v>
      </c>
      <c r="H28" s="433">
        <v>0</v>
      </c>
      <c r="I28" s="433">
        <v>0</v>
      </c>
      <c r="J28" s="433">
        <v>39894.999999999935</v>
      </c>
      <c r="K28" s="433">
        <v>0</v>
      </c>
      <c r="L28" s="433">
        <v>99219.999999999825</v>
      </c>
      <c r="M28" s="433">
        <v>0</v>
      </c>
      <c r="N28" s="433">
        <v>2879.9999999999977</v>
      </c>
      <c r="O28" s="433">
        <v>14209.999999999985</v>
      </c>
      <c r="P28" s="433">
        <v>0</v>
      </c>
      <c r="Q28" s="433">
        <v>8499.9999999999964</v>
      </c>
      <c r="R28" s="433">
        <v>13249.99999999988</v>
      </c>
      <c r="S28" s="433">
        <v>25199.999999999935</v>
      </c>
      <c r="T28" s="433">
        <v>0</v>
      </c>
      <c r="U28" s="433">
        <v>0</v>
      </c>
      <c r="V28" s="433">
        <v>0</v>
      </c>
      <c r="W28" s="433">
        <v>0</v>
      </c>
      <c r="X28" s="433">
        <v>0</v>
      </c>
      <c r="Y28" s="433">
        <v>0</v>
      </c>
      <c r="Z28" s="433">
        <v>12542.875816993463</v>
      </c>
      <c r="AA28" s="433">
        <v>0</v>
      </c>
      <c r="AB28" s="433">
        <v>156663.15789473674</v>
      </c>
      <c r="AC28" s="433">
        <v>0</v>
      </c>
      <c r="AD28" s="433">
        <v>0</v>
      </c>
      <c r="AE28" s="433">
        <v>0</v>
      </c>
      <c r="AF28" s="433">
        <v>152700</v>
      </c>
      <c r="AG28" s="433">
        <v>0</v>
      </c>
      <c r="AH28" s="433">
        <v>0</v>
      </c>
      <c r="AI28" s="433">
        <v>0</v>
      </c>
      <c r="AJ28" s="433">
        <v>22330.25</v>
      </c>
      <c r="AK28" s="433">
        <v>0</v>
      </c>
      <c r="AL28" s="433">
        <v>0</v>
      </c>
      <c r="AM28" s="433">
        <v>0</v>
      </c>
      <c r="AN28" s="433">
        <v>0</v>
      </c>
      <c r="AO28" s="433">
        <v>0</v>
      </c>
      <c r="AP28" s="433">
        <v>0</v>
      </c>
      <c r="AQ28" s="433">
        <v>0</v>
      </c>
      <c r="AR28" s="433">
        <v>0</v>
      </c>
      <c r="AS28" s="433">
        <v>983488</v>
      </c>
      <c r="AT28" s="433">
        <v>372361.0337117298</v>
      </c>
      <c r="AU28" s="433">
        <v>175030.25</v>
      </c>
      <c r="AV28" s="433">
        <v>249877.88242260044</v>
      </c>
      <c r="AW28" s="433">
        <v>1530879.2837117298</v>
      </c>
      <c r="AX28" s="434">
        <v>1508549.0337117298</v>
      </c>
      <c r="AY28" s="434">
        <v>5115</v>
      </c>
      <c r="AZ28" s="434">
        <v>1237830</v>
      </c>
      <c r="BA28" s="434">
        <v>0</v>
      </c>
      <c r="BB28" s="434">
        <v>0</v>
      </c>
      <c r="BC28" s="434">
        <v>1530879.2837117298</v>
      </c>
      <c r="BD28" s="434">
        <v>1530879.2837117296</v>
      </c>
      <c r="BE28" s="433">
        <v>0</v>
      </c>
      <c r="BF28" s="433">
        <v>1260160.25</v>
      </c>
      <c r="BG28" s="434">
        <v>1085130</v>
      </c>
      <c r="BH28" s="434">
        <v>1355849.0337117298</v>
      </c>
      <c r="BI28" s="433">
        <v>5602.6819574864867</v>
      </c>
      <c r="BJ28" s="433">
        <v>5282.5343411290323</v>
      </c>
      <c r="BK28" s="433">
        <v>6.0604928559542394E-2</v>
      </c>
      <c r="BL28" s="435">
        <v>-2.6009711992012494E-2</v>
      </c>
      <c r="BM28" s="433">
        <v>-33250.12162576495</v>
      </c>
      <c r="BN28" s="433">
        <v>1497629.1620859648</v>
      </c>
      <c r="BO28" s="434">
        <v>6096.2764962229949</v>
      </c>
      <c r="BP28" s="434" t="s">
        <v>768</v>
      </c>
      <c r="BQ28" s="434">
        <v>6188.5502565535735</v>
      </c>
      <c r="BR28" s="434">
        <v>3.5004770494325266E-2</v>
      </c>
      <c r="BS28" s="659">
        <v>-21308.1</v>
      </c>
      <c r="BT28" s="433">
        <v>1476321.0620859647</v>
      </c>
      <c r="BU28" s="433">
        <v>0</v>
      </c>
      <c r="BV28" s="433">
        <v>1476321.0620859647</v>
      </c>
      <c r="BW28" s="433">
        <v>22330.25</v>
      </c>
      <c r="BX28" s="665">
        <v>1453990.8120859647</v>
      </c>
      <c r="BY28" s="670"/>
      <c r="BZ28" s="380">
        <v>1453990.8120859647</v>
      </c>
      <c r="CA28" s="380">
        <f t="shared" si="0"/>
        <v>0</v>
      </c>
    </row>
    <row r="29" spans="1:79" ht="14.5" x14ac:dyDescent="0.35">
      <c r="A29" s="430">
        <v>112770</v>
      </c>
      <c r="B29" s="430">
        <v>8312505</v>
      </c>
      <c r="C29" s="431" t="s">
        <v>80</v>
      </c>
      <c r="D29" s="430">
        <v>567</v>
      </c>
      <c r="E29" s="432">
        <v>567</v>
      </c>
      <c r="F29" s="432">
        <v>0</v>
      </c>
      <c r="G29" s="432">
        <v>2304288</v>
      </c>
      <c r="H29" s="433">
        <v>0</v>
      </c>
      <c r="I29" s="433">
        <v>0</v>
      </c>
      <c r="J29" s="433">
        <v>138874.9999999998</v>
      </c>
      <c r="K29" s="433">
        <v>0</v>
      </c>
      <c r="L29" s="433">
        <v>335169.99999999936</v>
      </c>
      <c r="M29" s="433">
        <v>0</v>
      </c>
      <c r="N29" s="433">
        <v>1919.9999999999898</v>
      </c>
      <c r="O29" s="433">
        <v>26389.999999999869</v>
      </c>
      <c r="P29" s="433">
        <v>7279.9999999999864</v>
      </c>
      <c r="Q29" s="433">
        <v>33499.999999999854</v>
      </c>
      <c r="R29" s="433">
        <v>71549.999999999971</v>
      </c>
      <c r="S29" s="433">
        <v>4899.9999999999691</v>
      </c>
      <c r="T29" s="433">
        <v>0</v>
      </c>
      <c r="U29" s="433">
        <v>0</v>
      </c>
      <c r="V29" s="433">
        <v>0</v>
      </c>
      <c r="W29" s="433">
        <v>0</v>
      </c>
      <c r="X29" s="433">
        <v>0</v>
      </c>
      <c r="Y29" s="433">
        <v>0</v>
      </c>
      <c r="Z29" s="433">
        <v>89618.137651821628</v>
      </c>
      <c r="AA29" s="433">
        <v>0</v>
      </c>
      <c r="AB29" s="433">
        <v>282117.25439294241</v>
      </c>
      <c r="AC29" s="433">
        <v>0</v>
      </c>
      <c r="AD29" s="433">
        <v>9830.2999999999611</v>
      </c>
      <c r="AE29" s="433">
        <v>0</v>
      </c>
      <c r="AF29" s="433">
        <v>152700</v>
      </c>
      <c r="AG29" s="433">
        <v>0</v>
      </c>
      <c r="AH29" s="433">
        <v>0</v>
      </c>
      <c r="AI29" s="433">
        <v>0</v>
      </c>
      <c r="AJ29" s="433">
        <v>43680</v>
      </c>
      <c r="AK29" s="433">
        <v>0</v>
      </c>
      <c r="AL29" s="433">
        <v>0</v>
      </c>
      <c r="AM29" s="433">
        <v>0</v>
      </c>
      <c r="AN29" s="433">
        <v>0</v>
      </c>
      <c r="AO29" s="433">
        <v>0</v>
      </c>
      <c r="AP29" s="433">
        <v>0</v>
      </c>
      <c r="AQ29" s="433">
        <v>0</v>
      </c>
      <c r="AR29" s="433">
        <v>0</v>
      </c>
      <c r="AS29" s="433">
        <v>2304288</v>
      </c>
      <c r="AT29" s="433">
        <v>1001150.6920447629</v>
      </c>
      <c r="AU29" s="433">
        <v>196380</v>
      </c>
      <c r="AV29" s="433">
        <v>640086.96880306629</v>
      </c>
      <c r="AW29" s="433">
        <v>3501818.6920447629</v>
      </c>
      <c r="AX29" s="434">
        <v>3458138.6920447629</v>
      </c>
      <c r="AY29" s="434">
        <v>5115</v>
      </c>
      <c r="AZ29" s="434">
        <v>2900205</v>
      </c>
      <c r="BA29" s="434">
        <v>0</v>
      </c>
      <c r="BB29" s="434">
        <v>0</v>
      </c>
      <c r="BC29" s="434">
        <v>3501818.6920447629</v>
      </c>
      <c r="BD29" s="434">
        <v>3501818.6920447634</v>
      </c>
      <c r="BE29" s="433">
        <v>0</v>
      </c>
      <c r="BF29" s="433">
        <v>2943885</v>
      </c>
      <c r="BG29" s="434">
        <v>2747505</v>
      </c>
      <c r="BH29" s="434">
        <v>3305438.6920447629</v>
      </c>
      <c r="BI29" s="433">
        <v>5829.6978695674834</v>
      </c>
      <c r="BJ29" s="433">
        <v>5523.2523119782209</v>
      </c>
      <c r="BK29" s="433">
        <v>5.5482809815636559E-2</v>
      </c>
      <c r="BL29" s="435">
        <v>-2.2567648196107772E-2</v>
      </c>
      <c r="BM29" s="433">
        <v>-70674.744147560938</v>
      </c>
      <c r="BN29" s="433">
        <v>3431143.9478972019</v>
      </c>
      <c r="BO29" s="434">
        <v>5974.3632238045884</v>
      </c>
      <c r="BP29" s="434" t="s">
        <v>768</v>
      </c>
      <c r="BQ29" s="434">
        <v>6051.4002608416258</v>
      </c>
      <c r="BR29" s="434">
        <v>3.0074254304628401E-2</v>
      </c>
      <c r="BS29" s="659">
        <v>-49924.35</v>
      </c>
      <c r="BT29" s="433">
        <v>3381219.5978972018</v>
      </c>
      <c r="BU29" s="433">
        <v>0</v>
      </c>
      <c r="BV29" s="433">
        <v>3381219.5978972018</v>
      </c>
      <c r="BW29" s="433">
        <v>43680</v>
      </c>
      <c r="BX29" s="665">
        <v>3337539.5978972018</v>
      </c>
      <c r="BY29" s="670"/>
      <c r="BZ29" s="380">
        <v>3337539.5978972018</v>
      </c>
      <c r="CA29" s="380">
        <f t="shared" si="0"/>
        <v>0</v>
      </c>
    </row>
    <row r="30" spans="1:79" ht="14.5" x14ac:dyDescent="0.35">
      <c r="A30" s="430">
        <v>112790</v>
      </c>
      <c r="B30" s="430">
        <v>8312627</v>
      </c>
      <c r="C30" s="431" t="s">
        <v>81</v>
      </c>
      <c r="D30" s="430">
        <v>408</v>
      </c>
      <c r="E30" s="432">
        <v>408</v>
      </c>
      <c r="F30" s="432">
        <v>0</v>
      </c>
      <c r="G30" s="432">
        <v>1658112</v>
      </c>
      <c r="H30" s="433">
        <v>0</v>
      </c>
      <c r="I30" s="433">
        <v>0</v>
      </c>
      <c r="J30" s="433">
        <v>26764.999999999851</v>
      </c>
      <c r="K30" s="433">
        <v>0</v>
      </c>
      <c r="L30" s="433">
        <v>64129.999999999636</v>
      </c>
      <c r="M30" s="433">
        <v>0</v>
      </c>
      <c r="N30" s="433">
        <v>3359.9999999999923</v>
      </c>
      <c r="O30" s="433">
        <v>2609.9999999999923</v>
      </c>
      <c r="P30" s="433">
        <v>0</v>
      </c>
      <c r="Q30" s="433">
        <v>2000</v>
      </c>
      <c r="R30" s="433">
        <v>0</v>
      </c>
      <c r="S30" s="433">
        <v>699.9999999999992</v>
      </c>
      <c r="T30" s="433">
        <v>0</v>
      </c>
      <c r="U30" s="433">
        <v>0</v>
      </c>
      <c r="V30" s="433">
        <v>0</v>
      </c>
      <c r="W30" s="433">
        <v>0</v>
      </c>
      <c r="X30" s="433">
        <v>0</v>
      </c>
      <c r="Y30" s="433">
        <v>0</v>
      </c>
      <c r="Z30" s="433">
        <v>33613.103448275666</v>
      </c>
      <c r="AA30" s="433">
        <v>0</v>
      </c>
      <c r="AB30" s="433">
        <v>162892.64582480176</v>
      </c>
      <c r="AC30" s="433">
        <v>0</v>
      </c>
      <c r="AD30" s="433">
        <v>0</v>
      </c>
      <c r="AE30" s="433">
        <v>0</v>
      </c>
      <c r="AF30" s="433">
        <v>152700</v>
      </c>
      <c r="AG30" s="433">
        <v>0</v>
      </c>
      <c r="AH30" s="433">
        <v>0</v>
      </c>
      <c r="AI30" s="433">
        <v>0</v>
      </c>
      <c r="AJ30" s="433">
        <v>21082.75</v>
      </c>
      <c r="AK30" s="433">
        <v>0</v>
      </c>
      <c r="AL30" s="433">
        <v>0</v>
      </c>
      <c r="AM30" s="433">
        <v>0</v>
      </c>
      <c r="AN30" s="433">
        <v>0</v>
      </c>
      <c r="AO30" s="433">
        <v>0</v>
      </c>
      <c r="AP30" s="433">
        <v>0</v>
      </c>
      <c r="AQ30" s="433">
        <v>0</v>
      </c>
      <c r="AR30" s="433">
        <v>0</v>
      </c>
      <c r="AS30" s="433">
        <v>1658112</v>
      </c>
      <c r="AT30" s="433">
        <v>296070.74927307689</v>
      </c>
      <c r="AU30" s="433">
        <v>173782.75</v>
      </c>
      <c r="AV30" s="433">
        <v>304951.80808427685</v>
      </c>
      <c r="AW30" s="433">
        <v>2127965.4992730767</v>
      </c>
      <c r="AX30" s="434">
        <v>2106882.7492730767</v>
      </c>
      <c r="AY30" s="434">
        <v>5115</v>
      </c>
      <c r="AZ30" s="434">
        <v>2086920</v>
      </c>
      <c r="BA30" s="434">
        <v>0</v>
      </c>
      <c r="BB30" s="434">
        <v>0</v>
      </c>
      <c r="BC30" s="434">
        <v>2127965.4992730767</v>
      </c>
      <c r="BD30" s="434">
        <v>2127965.4992730767</v>
      </c>
      <c r="BE30" s="433">
        <v>0</v>
      </c>
      <c r="BF30" s="433">
        <v>2108002.75</v>
      </c>
      <c r="BG30" s="434">
        <v>1934220</v>
      </c>
      <c r="BH30" s="434">
        <v>1954182.7492730767</v>
      </c>
      <c r="BI30" s="433">
        <v>4789.6636011595019</v>
      </c>
      <c r="BJ30" s="433">
        <v>4743.9756690997565</v>
      </c>
      <c r="BK30" s="433">
        <v>9.6307264721733777E-3</v>
      </c>
      <c r="BL30" s="435">
        <v>0</v>
      </c>
      <c r="BM30" s="433">
        <v>0</v>
      </c>
      <c r="BN30" s="433">
        <v>2127965.4992730767</v>
      </c>
      <c r="BO30" s="434">
        <v>5163.9283070418542</v>
      </c>
      <c r="BP30" s="434" t="s">
        <v>768</v>
      </c>
      <c r="BQ30" s="434">
        <v>5215.6017139045998</v>
      </c>
      <c r="BR30" s="434">
        <v>9.6457944060925893E-3</v>
      </c>
      <c r="BS30" s="659">
        <v>-35924.400000000001</v>
      </c>
      <c r="BT30" s="433">
        <v>2092041.0992730767</v>
      </c>
      <c r="BU30" s="433">
        <v>0</v>
      </c>
      <c r="BV30" s="433">
        <v>2092041.0992730767</v>
      </c>
      <c r="BW30" s="433">
        <v>21082.75</v>
      </c>
      <c r="BX30" s="665">
        <v>2070958.3492730767</v>
      </c>
      <c r="BY30" s="670"/>
      <c r="BZ30" s="380">
        <v>2070958.3492730767</v>
      </c>
      <c r="CA30" s="380">
        <f t="shared" si="0"/>
        <v>0</v>
      </c>
    </row>
    <row r="31" spans="1:79" ht="14.5" x14ac:dyDescent="0.35">
      <c r="A31" s="430">
        <v>112915</v>
      </c>
      <c r="B31" s="430">
        <v>8313526</v>
      </c>
      <c r="C31" s="431" t="s">
        <v>82</v>
      </c>
      <c r="D31" s="430">
        <v>89</v>
      </c>
      <c r="E31" s="432">
        <v>89</v>
      </c>
      <c r="F31" s="432">
        <v>0</v>
      </c>
      <c r="G31" s="432">
        <v>361696</v>
      </c>
      <c r="H31" s="433">
        <v>0</v>
      </c>
      <c r="I31" s="433">
        <v>0</v>
      </c>
      <c r="J31" s="433">
        <v>10099.999999999976</v>
      </c>
      <c r="K31" s="433">
        <v>0</v>
      </c>
      <c r="L31" s="433">
        <v>25409.999999999971</v>
      </c>
      <c r="M31" s="433">
        <v>0</v>
      </c>
      <c r="N31" s="433">
        <v>0</v>
      </c>
      <c r="O31" s="433">
        <v>13629.999999999987</v>
      </c>
      <c r="P31" s="433">
        <v>4549.9999999999691</v>
      </c>
      <c r="Q31" s="433">
        <v>11499.999999999964</v>
      </c>
      <c r="R31" s="433">
        <v>0</v>
      </c>
      <c r="S31" s="433">
        <v>4199.9999999999964</v>
      </c>
      <c r="T31" s="433">
        <v>0</v>
      </c>
      <c r="U31" s="433">
        <v>0</v>
      </c>
      <c r="V31" s="433">
        <v>0</v>
      </c>
      <c r="W31" s="433">
        <v>0</v>
      </c>
      <c r="X31" s="433">
        <v>0</v>
      </c>
      <c r="Y31" s="433">
        <v>0</v>
      </c>
      <c r="Z31" s="433">
        <v>45088.305084745749</v>
      </c>
      <c r="AA31" s="433">
        <v>0</v>
      </c>
      <c r="AB31" s="433">
        <v>45771.428571428507</v>
      </c>
      <c r="AC31" s="433">
        <v>0</v>
      </c>
      <c r="AD31" s="433">
        <v>650.09999999999513</v>
      </c>
      <c r="AE31" s="433">
        <v>0</v>
      </c>
      <c r="AF31" s="433">
        <v>152700</v>
      </c>
      <c r="AG31" s="433">
        <v>0</v>
      </c>
      <c r="AH31" s="433">
        <v>0</v>
      </c>
      <c r="AI31" s="433">
        <v>0</v>
      </c>
      <c r="AJ31" s="433">
        <v>1771.45</v>
      </c>
      <c r="AK31" s="433">
        <v>0</v>
      </c>
      <c r="AL31" s="433">
        <v>0</v>
      </c>
      <c r="AM31" s="433">
        <v>0</v>
      </c>
      <c r="AN31" s="433">
        <v>0</v>
      </c>
      <c r="AO31" s="433">
        <v>0</v>
      </c>
      <c r="AP31" s="433">
        <v>0</v>
      </c>
      <c r="AQ31" s="433">
        <v>0</v>
      </c>
      <c r="AR31" s="433">
        <v>0</v>
      </c>
      <c r="AS31" s="433">
        <v>361696</v>
      </c>
      <c r="AT31" s="433">
        <v>160899.83365617413</v>
      </c>
      <c r="AU31" s="433">
        <v>154471.45000000001</v>
      </c>
      <c r="AV31" s="433">
        <v>102705.88975786917</v>
      </c>
      <c r="AW31" s="433">
        <v>677067.28365617408</v>
      </c>
      <c r="AX31" s="434">
        <v>675295.83365617413</v>
      </c>
      <c r="AY31" s="434">
        <v>5115</v>
      </c>
      <c r="AZ31" s="434">
        <v>455235</v>
      </c>
      <c r="BA31" s="434">
        <v>0</v>
      </c>
      <c r="BB31" s="434">
        <v>0</v>
      </c>
      <c r="BC31" s="434">
        <v>677067.28365617408</v>
      </c>
      <c r="BD31" s="434">
        <v>677067.28365617408</v>
      </c>
      <c r="BE31" s="433">
        <v>0</v>
      </c>
      <c r="BF31" s="433">
        <v>457006.45</v>
      </c>
      <c r="BG31" s="434">
        <v>302535</v>
      </c>
      <c r="BH31" s="434">
        <v>522595.83365617407</v>
      </c>
      <c r="BI31" s="433">
        <v>5871.8632995075741</v>
      </c>
      <c r="BJ31" s="433">
        <v>5946.0921111111111</v>
      </c>
      <c r="BK31" s="433">
        <v>-1.2483629620340055E-2</v>
      </c>
      <c r="BL31" s="435">
        <v>1.2483629620340055E-2</v>
      </c>
      <c r="BM31" s="433">
        <v>6606.3642327147927</v>
      </c>
      <c r="BN31" s="433">
        <v>683673.64788888884</v>
      </c>
      <c r="BO31" s="434">
        <v>7661.8224481897623</v>
      </c>
      <c r="BP31" s="434" t="s">
        <v>768</v>
      </c>
      <c r="BQ31" s="434">
        <v>7681.7263807740319</v>
      </c>
      <c r="BR31" s="434">
        <v>2.449132709767321E-3</v>
      </c>
      <c r="BS31" s="659">
        <v>-7836.45</v>
      </c>
      <c r="BT31" s="433">
        <v>675837.19788888888</v>
      </c>
      <c r="BU31" s="433">
        <v>0</v>
      </c>
      <c r="BV31" s="433">
        <v>675837.19788888888</v>
      </c>
      <c r="BW31" s="433">
        <v>1771.45</v>
      </c>
      <c r="BX31" s="665">
        <v>674065.74788888893</v>
      </c>
      <c r="BY31" s="670"/>
      <c r="BZ31" s="380">
        <v>674065.74788888893</v>
      </c>
      <c r="CA31" s="380">
        <f t="shared" si="0"/>
        <v>0</v>
      </c>
    </row>
    <row r="32" spans="1:79" ht="14.5" x14ac:dyDescent="0.35">
      <c r="A32" s="430">
        <v>112983</v>
      </c>
      <c r="B32" s="430">
        <v>8315209</v>
      </c>
      <c r="C32" s="431" t="s">
        <v>83</v>
      </c>
      <c r="D32" s="430">
        <v>269</v>
      </c>
      <c r="E32" s="432">
        <v>269</v>
      </c>
      <c r="F32" s="432">
        <v>0</v>
      </c>
      <c r="G32" s="432">
        <v>1093216</v>
      </c>
      <c r="H32" s="433">
        <v>0</v>
      </c>
      <c r="I32" s="433">
        <v>0</v>
      </c>
      <c r="J32" s="433">
        <v>62619.999999999949</v>
      </c>
      <c r="K32" s="433">
        <v>0</v>
      </c>
      <c r="L32" s="433">
        <v>153669.99999999977</v>
      </c>
      <c r="M32" s="433">
        <v>0</v>
      </c>
      <c r="N32" s="433">
        <v>21839.999999999949</v>
      </c>
      <c r="O32" s="433">
        <v>4059.9999999999995</v>
      </c>
      <c r="P32" s="433">
        <v>1364.9999999999973</v>
      </c>
      <c r="Q32" s="433">
        <v>10999.999999999991</v>
      </c>
      <c r="R32" s="433">
        <v>21199.99999999996</v>
      </c>
      <c r="S32" s="433">
        <v>11199.999999999995</v>
      </c>
      <c r="T32" s="433">
        <v>0</v>
      </c>
      <c r="U32" s="433">
        <v>0</v>
      </c>
      <c r="V32" s="433">
        <v>0</v>
      </c>
      <c r="W32" s="433">
        <v>0</v>
      </c>
      <c r="X32" s="433">
        <v>0</v>
      </c>
      <c r="Y32" s="433">
        <v>0</v>
      </c>
      <c r="Z32" s="433">
        <v>10979.999999999993</v>
      </c>
      <c r="AA32" s="433">
        <v>0</v>
      </c>
      <c r="AB32" s="433">
        <v>122156.97117674875</v>
      </c>
      <c r="AC32" s="433">
        <v>0</v>
      </c>
      <c r="AD32" s="433">
        <v>0</v>
      </c>
      <c r="AE32" s="433">
        <v>0</v>
      </c>
      <c r="AF32" s="433">
        <v>152700</v>
      </c>
      <c r="AG32" s="433">
        <v>0</v>
      </c>
      <c r="AH32" s="433">
        <v>0</v>
      </c>
      <c r="AI32" s="433">
        <v>0</v>
      </c>
      <c r="AJ32" s="433">
        <v>5787.6</v>
      </c>
      <c r="AK32" s="433">
        <v>0</v>
      </c>
      <c r="AL32" s="433">
        <v>0</v>
      </c>
      <c r="AM32" s="433">
        <v>0</v>
      </c>
      <c r="AN32" s="433">
        <v>0</v>
      </c>
      <c r="AO32" s="433">
        <v>0</v>
      </c>
      <c r="AP32" s="433">
        <v>0</v>
      </c>
      <c r="AQ32" s="433">
        <v>0</v>
      </c>
      <c r="AR32" s="433">
        <v>0</v>
      </c>
      <c r="AS32" s="433">
        <v>1093216</v>
      </c>
      <c r="AT32" s="433">
        <v>420091.97117674834</v>
      </c>
      <c r="AU32" s="433">
        <v>158487.6</v>
      </c>
      <c r="AV32" s="433">
        <v>279795.37983980379</v>
      </c>
      <c r="AW32" s="433">
        <v>1671795.5711767485</v>
      </c>
      <c r="AX32" s="434">
        <v>1666007.9711767484</v>
      </c>
      <c r="AY32" s="434">
        <v>5115</v>
      </c>
      <c r="AZ32" s="434">
        <v>1375935</v>
      </c>
      <c r="BA32" s="434">
        <v>0</v>
      </c>
      <c r="BB32" s="434">
        <v>0</v>
      </c>
      <c r="BC32" s="434">
        <v>1671795.5711767485</v>
      </c>
      <c r="BD32" s="434">
        <v>1671795.5711767487</v>
      </c>
      <c r="BE32" s="433">
        <v>0</v>
      </c>
      <c r="BF32" s="433">
        <v>1381722.6</v>
      </c>
      <c r="BG32" s="434">
        <v>1223235</v>
      </c>
      <c r="BH32" s="434">
        <v>1513307.9711767484</v>
      </c>
      <c r="BI32" s="433">
        <v>5625.6801902481357</v>
      </c>
      <c r="BJ32" s="433">
        <v>5353.1186224637686</v>
      </c>
      <c r="BK32" s="433">
        <v>5.0916407239808337E-2</v>
      </c>
      <c r="BL32" s="435">
        <v>-1.9499025665151205E-2</v>
      </c>
      <c r="BM32" s="433">
        <v>-28078.380702757349</v>
      </c>
      <c r="BN32" s="433">
        <v>1643717.1904739912</v>
      </c>
      <c r="BO32" s="434">
        <v>6088.9575854051718</v>
      </c>
      <c r="BP32" s="434" t="s">
        <v>768</v>
      </c>
      <c r="BQ32" s="434">
        <v>6110.4728270408596</v>
      </c>
      <c r="BR32" s="434">
        <v>3.1472006162746036E-2</v>
      </c>
      <c r="BS32" s="659">
        <v>-23685.45</v>
      </c>
      <c r="BT32" s="433">
        <v>1620031.7404739913</v>
      </c>
      <c r="BU32" s="433">
        <v>0</v>
      </c>
      <c r="BV32" s="433">
        <v>1620031.7404739913</v>
      </c>
      <c r="BW32" s="433">
        <v>5787.6</v>
      </c>
      <c r="BX32" s="665">
        <v>1614244.1404739912</v>
      </c>
      <c r="BY32" s="670"/>
      <c r="BZ32" s="380">
        <v>1614244.1404739912</v>
      </c>
      <c r="CA32" s="380">
        <f t="shared" si="0"/>
        <v>0</v>
      </c>
    </row>
    <row r="33" spans="1:79" ht="14.5" x14ac:dyDescent="0.35">
      <c r="A33" s="430">
        <v>112956</v>
      </c>
      <c r="B33" s="430">
        <v>8314182</v>
      </c>
      <c r="C33" s="431" t="s">
        <v>84</v>
      </c>
      <c r="D33" s="430">
        <v>1458</v>
      </c>
      <c r="E33" s="432">
        <v>0</v>
      </c>
      <c r="F33" s="432">
        <v>1458</v>
      </c>
      <c r="G33" s="432">
        <v>0</v>
      </c>
      <c r="H33" s="433">
        <v>4997994</v>
      </c>
      <c r="I33" s="433">
        <v>3711390</v>
      </c>
      <c r="J33" s="433">
        <v>0</v>
      </c>
      <c r="K33" s="433">
        <v>120694.9999999993</v>
      </c>
      <c r="L33" s="433">
        <v>0</v>
      </c>
      <c r="M33" s="433">
        <v>512324.99999999825</v>
      </c>
      <c r="N33" s="433">
        <v>0</v>
      </c>
      <c r="O33" s="433">
        <v>0</v>
      </c>
      <c r="P33" s="433">
        <v>0</v>
      </c>
      <c r="Q33" s="433">
        <v>0</v>
      </c>
      <c r="R33" s="433">
        <v>0</v>
      </c>
      <c r="S33" s="433">
        <v>0</v>
      </c>
      <c r="T33" s="433">
        <v>42464.124914207234</v>
      </c>
      <c r="U33" s="433">
        <v>24396.733013040492</v>
      </c>
      <c r="V33" s="433">
        <v>17562.045298558674</v>
      </c>
      <c r="W33" s="433">
        <v>4973.4111187371218</v>
      </c>
      <c r="X33" s="433">
        <v>5323.651338366496</v>
      </c>
      <c r="Y33" s="433">
        <v>0</v>
      </c>
      <c r="Z33" s="433">
        <v>0</v>
      </c>
      <c r="AA33" s="433">
        <v>52231.648351648168</v>
      </c>
      <c r="AB33" s="433">
        <v>0</v>
      </c>
      <c r="AC33" s="433">
        <v>500804.26170506072</v>
      </c>
      <c r="AD33" s="433">
        <v>0</v>
      </c>
      <c r="AE33" s="433">
        <v>0</v>
      </c>
      <c r="AF33" s="433">
        <v>152700</v>
      </c>
      <c r="AG33" s="433">
        <v>0</v>
      </c>
      <c r="AH33" s="433">
        <v>0</v>
      </c>
      <c r="AI33" s="433">
        <v>0</v>
      </c>
      <c r="AJ33" s="433">
        <v>180180</v>
      </c>
      <c r="AK33" s="433">
        <v>0</v>
      </c>
      <c r="AL33" s="433">
        <v>0</v>
      </c>
      <c r="AM33" s="433">
        <v>0</v>
      </c>
      <c r="AN33" s="433">
        <v>0</v>
      </c>
      <c r="AO33" s="433">
        <v>0</v>
      </c>
      <c r="AP33" s="433">
        <v>0</v>
      </c>
      <c r="AQ33" s="433">
        <v>0</v>
      </c>
      <c r="AR33" s="433">
        <v>0</v>
      </c>
      <c r="AS33" s="433">
        <v>8709384</v>
      </c>
      <c r="AT33" s="433">
        <v>1280775.8757396163</v>
      </c>
      <c r="AU33" s="433">
        <v>332880</v>
      </c>
      <c r="AV33" s="433">
        <v>1259078.9903190939</v>
      </c>
      <c r="AW33" s="433">
        <v>10323039.875739615</v>
      </c>
      <c r="AX33" s="434">
        <v>10142859.875739615</v>
      </c>
      <c r="AY33" s="434">
        <v>6640</v>
      </c>
      <c r="AZ33" s="434">
        <v>9681120</v>
      </c>
      <c r="BA33" s="434">
        <v>0</v>
      </c>
      <c r="BB33" s="434">
        <v>0</v>
      </c>
      <c r="BC33" s="434">
        <v>10323039.875739615</v>
      </c>
      <c r="BD33" s="434">
        <v>0</v>
      </c>
      <c r="BE33" s="433">
        <v>10323039.875739619</v>
      </c>
      <c r="BF33" s="433">
        <v>9861300</v>
      </c>
      <c r="BG33" s="434">
        <v>9528420</v>
      </c>
      <c r="BH33" s="434">
        <v>9990159.8757396154</v>
      </c>
      <c r="BI33" s="433">
        <v>6851.9615059942489</v>
      </c>
      <c r="BJ33" s="433">
        <v>6609.2801375765821</v>
      </c>
      <c r="BK33" s="433">
        <v>3.6718275419726804E-2</v>
      </c>
      <c r="BL33" s="435">
        <v>-9.9578810820564138E-3</v>
      </c>
      <c r="BM33" s="433">
        <v>-95957.432594762213</v>
      </c>
      <c r="BN33" s="433">
        <v>10227082.443144852</v>
      </c>
      <c r="BO33" s="434">
        <v>6890.8795906343294</v>
      </c>
      <c r="BP33" s="434" t="s">
        <v>768</v>
      </c>
      <c r="BQ33" s="434">
        <v>7014.45983754791</v>
      </c>
      <c r="BR33" s="434">
        <v>2.7271195747969212E-2</v>
      </c>
      <c r="BS33" s="659">
        <v>-112076.45999999999</v>
      </c>
      <c r="BT33" s="433">
        <v>10115005.983144851</v>
      </c>
      <c r="BU33" s="433">
        <v>0</v>
      </c>
      <c r="BV33" s="433">
        <v>10115005.983144851</v>
      </c>
      <c r="BW33" s="433">
        <v>180180</v>
      </c>
      <c r="BX33" s="665">
        <v>9934825.9831448514</v>
      </c>
      <c r="BY33" s="670"/>
      <c r="BZ33" s="380">
        <v>9934825.9831448514</v>
      </c>
      <c r="CA33" s="380">
        <f t="shared" si="0"/>
        <v>0</v>
      </c>
    </row>
    <row r="34" spans="1:79" ht="14.5" x14ac:dyDescent="0.35">
      <c r="A34" s="430">
        <v>112991</v>
      </c>
      <c r="B34" s="430">
        <v>8315406</v>
      </c>
      <c r="C34" s="431" t="s">
        <v>85</v>
      </c>
      <c r="D34" s="430">
        <v>1306.5</v>
      </c>
      <c r="E34" s="432">
        <v>0</v>
      </c>
      <c r="F34" s="432">
        <v>1306.5</v>
      </c>
      <c r="G34" s="432">
        <v>0</v>
      </c>
      <c r="H34" s="433">
        <v>4718906.166666666</v>
      </c>
      <c r="I34" s="433">
        <v>3054899.166666667</v>
      </c>
      <c r="J34" s="433">
        <v>0</v>
      </c>
      <c r="K34" s="433">
        <v>203885.72941176451</v>
      </c>
      <c r="L34" s="433">
        <v>0</v>
      </c>
      <c r="M34" s="433">
        <v>809568.88235293946</v>
      </c>
      <c r="N34" s="433">
        <v>0</v>
      </c>
      <c r="O34" s="433">
        <v>0</v>
      </c>
      <c r="P34" s="433">
        <v>0</v>
      </c>
      <c r="Q34" s="433">
        <v>0</v>
      </c>
      <c r="R34" s="433">
        <v>0</v>
      </c>
      <c r="S34" s="433">
        <v>0</v>
      </c>
      <c r="T34" s="433">
        <v>124793.80588235283</v>
      </c>
      <c r="U34" s="433">
        <v>32052.799999999985</v>
      </c>
      <c r="V34" s="433">
        <v>33969</v>
      </c>
      <c r="W34" s="433">
        <v>58203.294117646983</v>
      </c>
      <c r="X34" s="433">
        <v>21026.964705882259</v>
      </c>
      <c r="Y34" s="433">
        <v>35782.729411764631</v>
      </c>
      <c r="Z34" s="433">
        <v>0</v>
      </c>
      <c r="AA34" s="433">
        <v>68481.094117646964</v>
      </c>
      <c r="AB34" s="433">
        <v>0</v>
      </c>
      <c r="AC34" s="433">
        <v>552959.29638818512</v>
      </c>
      <c r="AD34" s="433">
        <v>0</v>
      </c>
      <c r="AE34" s="433">
        <v>0</v>
      </c>
      <c r="AF34" s="433">
        <v>152700</v>
      </c>
      <c r="AG34" s="433">
        <v>0</v>
      </c>
      <c r="AH34" s="433">
        <v>0</v>
      </c>
      <c r="AI34" s="433">
        <v>0</v>
      </c>
      <c r="AJ34" s="433">
        <v>31668</v>
      </c>
      <c r="AK34" s="433">
        <v>0</v>
      </c>
      <c r="AL34" s="433">
        <v>0</v>
      </c>
      <c r="AM34" s="433">
        <v>0</v>
      </c>
      <c r="AN34" s="433">
        <v>0</v>
      </c>
      <c r="AO34" s="433">
        <v>0</v>
      </c>
      <c r="AP34" s="433">
        <v>0</v>
      </c>
      <c r="AQ34" s="433">
        <v>0</v>
      </c>
      <c r="AR34" s="433">
        <v>0</v>
      </c>
      <c r="AS34" s="433">
        <v>7773805.333333333</v>
      </c>
      <c r="AT34" s="433">
        <v>1940723.5963881828</v>
      </c>
      <c r="AU34" s="433">
        <v>184368</v>
      </c>
      <c r="AV34" s="433">
        <v>1408763.8564944812</v>
      </c>
      <c r="AW34" s="433">
        <v>9898896.9297215156</v>
      </c>
      <c r="AX34" s="434">
        <v>9867228.9297215156</v>
      </c>
      <c r="AY34" s="434">
        <v>6640</v>
      </c>
      <c r="AZ34" s="434">
        <v>8675160</v>
      </c>
      <c r="BA34" s="434">
        <v>0</v>
      </c>
      <c r="BB34" s="434">
        <v>0</v>
      </c>
      <c r="BC34" s="434">
        <v>9898896.9297215156</v>
      </c>
      <c r="BD34" s="434">
        <v>0</v>
      </c>
      <c r="BE34" s="433">
        <v>9898896.9297215156</v>
      </c>
      <c r="BF34" s="433">
        <v>8706828</v>
      </c>
      <c r="BG34" s="434">
        <v>8522460</v>
      </c>
      <c r="BH34" s="434">
        <v>9714528.9297215156</v>
      </c>
      <c r="BI34" s="433">
        <v>7435.5368769395454</v>
      </c>
      <c r="BJ34" s="433">
        <v>7335.0812341276878</v>
      </c>
      <c r="BK34" s="433">
        <v>1.3695232486924752E-2</v>
      </c>
      <c r="BL34" s="435">
        <v>0</v>
      </c>
      <c r="BM34" s="433">
        <v>0</v>
      </c>
      <c r="BN34" s="433">
        <v>9898896.9297215156</v>
      </c>
      <c r="BO34" s="434">
        <v>7552.4140296375936</v>
      </c>
      <c r="BP34" s="434" t="s">
        <v>768</v>
      </c>
      <c r="BQ34" s="434">
        <v>7576.6528356077424</v>
      </c>
      <c r="BR34" s="434">
        <v>1.2620339401946401E-2</v>
      </c>
      <c r="BS34" s="659">
        <v>-100430.65499999998</v>
      </c>
      <c r="BT34" s="433">
        <v>9798466.2747215163</v>
      </c>
      <c r="BU34" s="433">
        <v>0</v>
      </c>
      <c r="BV34" s="433">
        <v>9798466.2747215163</v>
      </c>
      <c r="BW34" s="433">
        <v>31668</v>
      </c>
      <c r="BX34" s="665">
        <v>9766798.2747215163</v>
      </c>
      <c r="BY34" s="670"/>
      <c r="BZ34" s="380">
        <v>9766798.2747215163</v>
      </c>
      <c r="CA34" s="380">
        <f t="shared" si="0"/>
        <v>0</v>
      </c>
    </row>
    <row r="35" spans="1:79" ht="14.5" x14ac:dyDescent="0.35">
      <c r="A35" s="430">
        <v>112951</v>
      </c>
      <c r="B35" s="430">
        <v>8314177</v>
      </c>
      <c r="C35" s="431" t="s">
        <v>86</v>
      </c>
      <c r="D35" s="430">
        <v>1396</v>
      </c>
      <c r="E35" s="432">
        <v>385</v>
      </c>
      <c r="F35" s="432">
        <v>1011</v>
      </c>
      <c r="G35" s="432">
        <v>1564640</v>
      </c>
      <c r="H35" s="433">
        <v>3462774</v>
      </c>
      <c r="I35" s="433">
        <v>2576820</v>
      </c>
      <c r="J35" s="433">
        <v>60599.999999999869</v>
      </c>
      <c r="K35" s="433">
        <v>269669.99999999971</v>
      </c>
      <c r="L35" s="433">
        <v>151249.99999999968</v>
      </c>
      <c r="M35" s="433">
        <v>1016025</v>
      </c>
      <c r="N35" s="433">
        <v>5039.9999999999955</v>
      </c>
      <c r="O35" s="433">
        <v>31029.999999999898</v>
      </c>
      <c r="P35" s="433">
        <v>30939.999999999891</v>
      </c>
      <c r="Q35" s="433">
        <v>38500</v>
      </c>
      <c r="R35" s="433">
        <v>22789.999999999862</v>
      </c>
      <c r="S35" s="433">
        <v>6299.99999999998</v>
      </c>
      <c r="T35" s="433">
        <v>33152.792079207902</v>
      </c>
      <c r="U35" s="433">
        <v>83342.435643564255</v>
      </c>
      <c r="V35" s="433">
        <v>195843.71287128711</v>
      </c>
      <c r="W35" s="433">
        <v>159908.16831683111</v>
      </c>
      <c r="X35" s="433">
        <v>50970.41584158413</v>
      </c>
      <c r="Y35" s="433">
        <v>28157.851485148502</v>
      </c>
      <c r="Z35" s="433">
        <v>74849.853801169433</v>
      </c>
      <c r="AA35" s="433">
        <v>229829.99999999857</v>
      </c>
      <c r="AB35" s="433">
        <v>217534.05381788249</v>
      </c>
      <c r="AC35" s="433">
        <v>709321.235542921</v>
      </c>
      <c r="AD35" s="433">
        <v>41438.231770833205</v>
      </c>
      <c r="AE35" s="433">
        <v>74219.411881186854</v>
      </c>
      <c r="AF35" s="433">
        <v>152700</v>
      </c>
      <c r="AG35" s="433">
        <v>0</v>
      </c>
      <c r="AH35" s="433">
        <v>0</v>
      </c>
      <c r="AI35" s="433">
        <v>0</v>
      </c>
      <c r="AJ35" s="433">
        <v>27573</v>
      </c>
      <c r="AK35" s="433">
        <v>0</v>
      </c>
      <c r="AL35" s="433">
        <v>0</v>
      </c>
      <c r="AM35" s="433">
        <v>0</v>
      </c>
      <c r="AN35" s="433">
        <v>0</v>
      </c>
      <c r="AO35" s="433">
        <v>0</v>
      </c>
      <c r="AP35" s="433">
        <v>0</v>
      </c>
      <c r="AQ35" s="433">
        <v>0</v>
      </c>
      <c r="AR35" s="433">
        <v>0</v>
      </c>
      <c r="AS35" s="433">
        <v>7604234</v>
      </c>
      <c r="AT35" s="433">
        <v>3530713.1630516136</v>
      </c>
      <c r="AU35" s="433">
        <v>180273</v>
      </c>
      <c r="AV35" s="433">
        <v>2080114.7912228329</v>
      </c>
      <c r="AW35" s="433">
        <v>11315220.163051613</v>
      </c>
      <c r="AX35" s="434">
        <v>11287647.163051613</v>
      </c>
      <c r="AY35" s="434">
        <v>5750.416666666667</v>
      </c>
      <c r="AZ35" s="434">
        <v>8027581.666666667</v>
      </c>
      <c r="BA35" s="434">
        <v>0</v>
      </c>
      <c r="BB35" s="434">
        <v>0</v>
      </c>
      <c r="BC35" s="434">
        <v>11315220.163051613</v>
      </c>
      <c r="BD35" s="434">
        <v>2294629.2633153857</v>
      </c>
      <c r="BE35" s="433">
        <v>9020590.8997362256</v>
      </c>
      <c r="BF35" s="433">
        <v>8055154.666666667</v>
      </c>
      <c r="BG35" s="434">
        <v>7874881.666666667</v>
      </c>
      <c r="BH35" s="434">
        <v>11134947.163051613</v>
      </c>
      <c r="BI35" s="433">
        <v>7976.323182701728</v>
      </c>
      <c r="BJ35" s="433">
        <v>7719.8117362660942</v>
      </c>
      <c r="BK35" s="433">
        <v>3.3227681606611673E-2</v>
      </c>
      <c r="BL35" s="435">
        <v>-7.6122020396430451E-3</v>
      </c>
      <c r="BM35" s="433">
        <v>-82035.614235673245</v>
      </c>
      <c r="BN35" s="433">
        <v>11233184.54881594</v>
      </c>
      <c r="BO35" s="434">
        <v>8026.9423702119911</v>
      </c>
      <c r="BP35" s="434" t="s">
        <v>768</v>
      </c>
      <c r="BQ35" s="434">
        <v>8046.6938028767472</v>
      </c>
      <c r="BR35" s="434">
        <v>2.537862224679821E-2</v>
      </c>
      <c r="BS35" s="659">
        <v>-111614.81999999999</v>
      </c>
      <c r="BT35" s="433">
        <v>11121569.728815939</v>
      </c>
      <c r="BU35" s="433">
        <v>0</v>
      </c>
      <c r="BV35" s="433">
        <v>11121569.728815939</v>
      </c>
      <c r="BW35" s="433">
        <v>27573</v>
      </c>
      <c r="BX35" s="665">
        <v>11093996.728815939</v>
      </c>
      <c r="BY35" s="670"/>
      <c r="BZ35" s="380">
        <v>11093996.728815939</v>
      </c>
      <c r="CA35" s="380">
        <f t="shared" si="0"/>
        <v>0</v>
      </c>
    </row>
    <row r="36" spans="1:79" ht="14.5" x14ac:dyDescent="0.35">
      <c r="A36" s="430">
        <v>146579</v>
      </c>
      <c r="B36" s="430">
        <v>8312002</v>
      </c>
      <c r="C36" s="431" t="s">
        <v>87</v>
      </c>
      <c r="D36" s="430">
        <v>428</v>
      </c>
      <c r="E36" s="432">
        <v>428</v>
      </c>
      <c r="F36" s="432">
        <v>0</v>
      </c>
      <c r="G36" s="432">
        <v>1739392</v>
      </c>
      <c r="H36" s="433">
        <v>0</v>
      </c>
      <c r="I36" s="433">
        <v>0</v>
      </c>
      <c r="J36" s="433">
        <v>17170</v>
      </c>
      <c r="K36" s="433">
        <v>0</v>
      </c>
      <c r="L36" s="433">
        <v>43559.999999999964</v>
      </c>
      <c r="M36" s="433">
        <v>0</v>
      </c>
      <c r="N36" s="433">
        <v>19004.402810304393</v>
      </c>
      <c r="O36" s="433">
        <v>1744.0749414519832</v>
      </c>
      <c r="P36" s="433">
        <v>1368.1967213114754</v>
      </c>
      <c r="Q36" s="433">
        <v>501.17096018735361</v>
      </c>
      <c r="R36" s="433">
        <v>0</v>
      </c>
      <c r="S36" s="433">
        <v>0</v>
      </c>
      <c r="T36" s="433">
        <v>0</v>
      </c>
      <c r="U36" s="433">
        <v>0</v>
      </c>
      <c r="V36" s="433">
        <v>0</v>
      </c>
      <c r="W36" s="433">
        <v>0</v>
      </c>
      <c r="X36" s="433">
        <v>0</v>
      </c>
      <c r="Y36" s="433">
        <v>0</v>
      </c>
      <c r="Z36" s="433">
        <v>24253.33333333331</v>
      </c>
      <c r="AA36" s="433">
        <v>0</v>
      </c>
      <c r="AB36" s="433">
        <v>122320.71462424471</v>
      </c>
      <c r="AC36" s="433">
        <v>0</v>
      </c>
      <c r="AD36" s="433">
        <v>0</v>
      </c>
      <c r="AE36" s="433">
        <v>0</v>
      </c>
      <c r="AF36" s="433">
        <v>152700</v>
      </c>
      <c r="AG36" s="433">
        <v>0</v>
      </c>
      <c r="AH36" s="433">
        <v>0</v>
      </c>
      <c r="AI36" s="433">
        <v>0</v>
      </c>
      <c r="AJ36" s="433">
        <v>12448.8</v>
      </c>
      <c r="AK36" s="433">
        <v>0</v>
      </c>
      <c r="AL36" s="433">
        <v>0</v>
      </c>
      <c r="AM36" s="433">
        <v>0</v>
      </c>
      <c r="AN36" s="433">
        <v>0</v>
      </c>
      <c r="AO36" s="433">
        <v>0</v>
      </c>
      <c r="AP36" s="433">
        <v>0</v>
      </c>
      <c r="AQ36" s="433">
        <v>0</v>
      </c>
      <c r="AR36" s="433">
        <v>0</v>
      </c>
      <c r="AS36" s="433">
        <v>1739392</v>
      </c>
      <c r="AT36" s="433">
        <v>229921.89339083317</v>
      </c>
      <c r="AU36" s="433">
        <v>165148.79999999999</v>
      </c>
      <c r="AV36" s="433">
        <v>290938.66742026864</v>
      </c>
      <c r="AW36" s="433">
        <v>2134462.6933908332</v>
      </c>
      <c r="AX36" s="434">
        <v>2122013.8933908334</v>
      </c>
      <c r="AY36" s="434">
        <v>5115</v>
      </c>
      <c r="AZ36" s="434">
        <v>2189220</v>
      </c>
      <c r="BA36" s="434">
        <v>67206.1066091666</v>
      </c>
      <c r="BB36" s="434">
        <v>0</v>
      </c>
      <c r="BC36" s="434">
        <v>2201668.7999999998</v>
      </c>
      <c r="BD36" s="434">
        <v>2201668.7999999998</v>
      </c>
      <c r="BE36" s="433">
        <v>0</v>
      </c>
      <c r="BF36" s="433">
        <v>2201668.7999999998</v>
      </c>
      <c r="BG36" s="434">
        <v>2036519.9999999998</v>
      </c>
      <c r="BH36" s="434">
        <v>2036519.9999999998</v>
      </c>
      <c r="BI36" s="433">
        <v>4758.2242990654204</v>
      </c>
      <c r="BJ36" s="433">
        <v>4746.5510688836102</v>
      </c>
      <c r="BK36" s="433">
        <v>2.4593078242294538E-3</v>
      </c>
      <c r="BL36" s="435">
        <v>0</v>
      </c>
      <c r="BM36" s="433">
        <v>0</v>
      </c>
      <c r="BN36" s="433">
        <v>2201668.7999999998</v>
      </c>
      <c r="BO36" s="434">
        <v>5115</v>
      </c>
      <c r="BP36" s="434" t="s">
        <v>768</v>
      </c>
      <c r="BQ36" s="434">
        <v>5144.0859813084107</v>
      </c>
      <c r="BR36" s="434">
        <v>1.3817158269218144E-3</v>
      </c>
      <c r="BS36" s="659">
        <v>0</v>
      </c>
      <c r="BT36" s="433">
        <v>2201668.7999999998</v>
      </c>
      <c r="BU36" s="433">
        <v>0</v>
      </c>
      <c r="BV36" s="433">
        <v>2201668.7999999998</v>
      </c>
      <c r="BW36" s="433">
        <v>12448.8</v>
      </c>
      <c r="BX36" s="665">
        <v>2189220</v>
      </c>
      <c r="BY36" s="670"/>
      <c r="BZ36" s="380">
        <v>2189220</v>
      </c>
      <c r="CA36" s="380">
        <f t="shared" si="0"/>
        <v>0</v>
      </c>
    </row>
    <row r="37" spans="1:79" ht="14.5" x14ac:dyDescent="0.35">
      <c r="A37" s="430">
        <v>146877</v>
      </c>
      <c r="B37" s="430">
        <v>8312004</v>
      </c>
      <c r="C37" s="431" t="s">
        <v>88</v>
      </c>
      <c r="D37" s="430">
        <v>210</v>
      </c>
      <c r="E37" s="432">
        <v>210</v>
      </c>
      <c r="F37" s="432">
        <v>0</v>
      </c>
      <c r="G37" s="432">
        <v>853440</v>
      </c>
      <c r="H37" s="433">
        <v>0</v>
      </c>
      <c r="I37" s="433">
        <v>0</v>
      </c>
      <c r="J37" s="433">
        <v>57569.999999999913</v>
      </c>
      <c r="K37" s="433">
        <v>0</v>
      </c>
      <c r="L37" s="433">
        <v>139149.99999999985</v>
      </c>
      <c r="M37" s="433">
        <v>0</v>
      </c>
      <c r="N37" s="433">
        <v>9599.9999999999764</v>
      </c>
      <c r="O37" s="433">
        <v>4059.9999999999959</v>
      </c>
      <c r="P37" s="433">
        <v>7734.9999999999955</v>
      </c>
      <c r="Q37" s="433">
        <v>2499.9999999999991</v>
      </c>
      <c r="R37" s="433">
        <v>5299.9999999999982</v>
      </c>
      <c r="S37" s="433">
        <v>68599.999999999898</v>
      </c>
      <c r="T37" s="433">
        <v>0</v>
      </c>
      <c r="U37" s="433">
        <v>0</v>
      </c>
      <c r="V37" s="433">
        <v>0</v>
      </c>
      <c r="W37" s="433">
        <v>0</v>
      </c>
      <c r="X37" s="433">
        <v>0</v>
      </c>
      <c r="Y37" s="433">
        <v>0</v>
      </c>
      <c r="Z37" s="433">
        <v>16440.64171122984</v>
      </c>
      <c r="AA37" s="433">
        <v>0</v>
      </c>
      <c r="AB37" s="433">
        <v>87732.333916083866</v>
      </c>
      <c r="AC37" s="433">
        <v>0</v>
      </c>
      <c r="AD37" s="433">
        <v>3349.0000000000023</v>
      </c>
      <c r="AE37" s="433">
        <v>0</v>
      </c>
      <c r="AF37" s="433">
        <v>152700</v>
      </c>
      <c r="AG37" s="433">
        <v>0</v>
      </c>
      <c r="AH37" s="433">
        <v>0</v>
      </c>
      <c r="AI37" s="433">
        <v>0</v>
      </c>
      <c r="AJ37" s="433">
        <v>5896.8</v>
      </c>
      <c r="AK37" s="433">
        <v>0</v>
      </c>
      <c r="AL37" s="433">
        <v>0</v>
      </c>
      <c r="AM37" s="433">
        <v>0</v>
      </c>
      <c r="AN37" s="433">
        <v>0</v>
      </c>
      <c r="AO37" s="433">
        <v>0</v>
      </c>
      <c r="AP37" s="433">
        <v>0</v>
      </c>
      <c r="AQ37" s="433">
        <v>0</v>
      </c>
      <c r="AR37" s="433">
        <v>0</v>
      </c>
      <c r="AS37" s="433">
        <v>853440</v>
      </c>
      <c r="AT37" s="433">
        <v>402036.97562731337</v>
      </c>
      <c r="AU37" s="433">
        <v>158596.79999999999</v>
      </c>
      <c r="AV37" s="433">
        <v>247088.462210767</v>
      </c>
      <c r="AW37" s="433">
        <v>1414073.7756273134</v>
      </c>
      <c r="AX37" s="434">
        <v>1408176.9756273134</v>
      </c>
      <c r="AY37" s="434">
        <v>5115</v>
      </c>
      <c r="AZ37" s="434">
        <v>1074150</v>
      </c>
      <c r="BA37" s="434">
        <v>0</v>
      </c>
      <c r="BB37" s="434">
        <v>0</v>
      </c>
      <c r="BC37" s="434">
        <v>1414073.7756273134</v>
      </c>
      <c r="BD37" s="434">
        <v>1414073.7756273136</v>
      </c>
      <c r="BE37" s="433">
        <v>0</v>
      </c>
      <c r="BF37" s="433">
        <v>1080046.8</v>
      </c>
      <c r="BG37" s="434">
        <v>921450</v>
      </c>
      <c r="BH37" s="434">
        <v>1255476.9756273134</v>
      </c>
      <c r="BI37" s="433">
        <v>5978.461788701492</v>
      </c>
      <c r="BJ37" s="433">
        <v>5738.8133285106387</v>
      </c>
      <c r="BK37" s="433">
        <v>4.1759236007951464E-2</v>
      </c>
      <c r="BL37" s="435">
        <v>-1.3345406597343385E-2</v>
      </c>
      <c r="BM37" s="433">
        <v>-16083.227423597888</v>
      </c>
      <c r="BN37" s="433">
        <v>1397990.5482037156</v>
      </c>
      <c r="BO37" s="434">
        <v>6629.017848589122</v>
      </c>
      <c r="BP37" s="434" t="s">
        <v>768</v>
      </c>
      <c r="BQ37" s="434">
        <v>6657.0978485891219</v>
      </c>
      <c r="BR37" s="434">
        <v>3.8203417038547016E-2</v>
      </c>
      <c r="BS37" s="659">
        <v>0</v>
      </c>
      <c r="BT37" s="433">
        <v>1397990.5482037156</v>
      </c>
      <c r="BU37" s="433">
        <v>0</v>
      </c>
      <c r="BV37" s="433">
        <v>1397990.5482037156</v>
      </c>
      <c r="BW37" s="433">
        <v>5896.8</v>
      </c>
      <c r="BX37" s="665">
        <v>1392093.7482037155</v>
      </c>
      <c r="BY37" s="670"/>
      <c r="BZ37" s="380">
        <v>1392093.7482037155</v>
      </c>
      <c r="CA37" s="380">
        <f t="shared" si="0"/>
        <v>0</v>
      </c>
    </row>
    <row r="38" spans="1:79" ht="14.5" x14ac:dyDescent="0.35">
      <c r="A38" s="430">
        <v>146477</v>
      </c>
      <c r="B38" s="430">
        <v>8312006</v>
      </c>
      <c r="C38" s="431" t="s">
        <v>89</v>
      </c>
      <c r="D38" s="430">
        <v>311</v>
      </c>
      <c r="E38" s="432">
        <v>311</v>
      </c>
      <c r="F38" s="432">
        <v>0</v>
      </c>
      <c r="G38" s="432">
        <v>1263904</v>
      </c>
      <c r="H38" s="433">
        <v>0</v>
      </c>
      <c r="I38" s="433">
        <v>0</v>
      </c>
      <c r="J38" s="433">
        <v>8584.9999999999891</v>
      </c>
      <c r="K38" s="433">
        <v>0</v>
      </c>
      <c r="L38" s="433">
        <v>22989.999999999985</v>
      </c>
      <c r="M38" s="433">
        <v>0</v>
      </c>
      <c r="N38" s="433">
        <v>2879.9999999999973</v>
      </c>
      <c r="O38" s="433">
        <v>289.99999999999943</v>
      </c>
      <c r="P38" s="433">
        <v>0</v>
      </c>
      <c r="Q38" s="433">
        <v>499.99999999999903</v>
      </c>
      <c r="R38" s="433">
        <v>1059.9999999999995</v>
      </c>
      <c r="S38" s="433">
        <v>0</v>
      </c>
      <c r="T38" s="433">
        <v>0</v>
      </c>
      <c r="U38" s="433">
        <v>0</v>
      </c>
      <c r="V38" s="433">
        <v>0</v>
      </c>
      <c r="W38" s="433">
        <v>0</v>
      </c>
      <c r="X38" s="433">
        <v>0</v>
      </c>
      <c r="Y38" s="433">
        <v>0</v>
      </c>
      <c r="Z38" s="433">
        <v>37799.360902255474</v>
      </c>
      <c r="AA38" s="433">
        <v>0</v>
      </c>
      <c r="AB38" s="433">
        <v>109663.88500485862</v>
      </c>
      <c r="AC38" s="433">
        <v>0</v>
      </c>
      <c r="AD38" s="433">
        <v>0</v>
      </c>
      <c r="AE38" s="433">
        <v>0</v>
      </c>
      <c r="AF38" s="433">
        <v>152700</v>
      </c>
      <c r="AG38" s="433">
        <v>0</v>
      </c>
      <c r="AH38" s="433">
        <v>0</v>
      </c>
      <c r="AI38" s="433">
        <v>0</v>
      </c>
      <c r="AJ38" s="433">
        <v>8626.7999999999993</v>
      </c>
      <c r="AK38" s="433">
        <v>0</v>
      </c>
      <c r="AL38" s="433">
        <v>0</v>
      </c>
      <c r="AM38" s="433">
        <v>0</v>
      </c>
      <c r="AN38" s="433">
        <v>0</v>
      </c>
      <c r="AO38" s="433">
        <v>0</v>
      </c>
      <c r="AP38" s="433">
        <v>0</v>
      </c>
      <c r="AQ38" s="433">
        <v>0</v>
      </c>
      <c r="AR38" s="433">
        <v>0</v>
      </c>
      <c r="AS38" s="433">
        <v>1263904</v>
      </c>
      <c r="AT38" s="433">
        <v>183768.24590711406</v>
      </c>
      <c r="AU38" s="433">
        <v>161326.79999999999</v>
      </c>
      <c r="AV38" s="433">
        <v>218261.15600556595</v>
      </c>
      <c r="AW38" s="433">
        <v>1608999.0459071142</v>
      </c>
      <c r="AX38" s="434">
        <v>1600372.2459071141</v>
      </c>
      <c r="AY38" s="434">
        <v>5115</v>
      </c>
      <c r="AZ38" s="434">
        <v>1590765</v>
      </c>
      <c r="BA38" s="434">
        <v>0</v>
      </c>
      <c r="BB38" s="434">
        <v>0</v>
      </c>
      <c r="BC38" s="434">
        <v>1608999.0459071142</v>
      </c>
      <c r="BD38" s="434">
        <v>1608999.0459071142</v>
      </c>
      <c r="BE38" s="433">
        <v>0</v>
      </c>
      <c r="BF38" s="433">
        <v>1599391.8</v>
      </c>
      <c r="BG38" s="434">
        <v>1438065</v>
      </c>
      <c r="BH38" s="434">
        <v>1447672.2459071141</v>
      </c>
      <c r="BI38" s="433">
        <v>4654.8946813733573</v>
      </c>
      <c r="BJ38" s="433">
        <v>4614.763754045307</v>
      </c>
      <c r="BK38" s="433">
        <v>8.696204067406817E-3</v>
      </c>
      <c r="BL38" s="435">
        <v>0</v>
      </c>
      <c r="BM38" s="433">
        <v>0</v>
      </c>
      <c r="BN38" s="433">
        <v>1608999.0459071142</v>
      </c>
      <c r="BO38" s="434">
        <v>5145.891465939274</v>
      </c>
      <c r="BP38" s="434" t="s">
        <v>768</v>
      </c>
      <c r="BQ38" s="434">
        <v>5173.6303726916858</v>
      </c>
      <c r="BR38" s="434">
        <v>7.5502593867737833E-3</v>
      </c>
      <c r="BS38" s="659">
        <v>0</v>
      </c>
      <c r="BT38" s="433">
        <v>1608999.0459071142</v>
      </c>
      <c r="BU38" s="433">
        <v>0</v>
      </c>
      <c r="BV38" s="433">
        <v>1608999.0459071142</v>
      </c>
      <c r="BW38" s="433">
        <v>8626.7999999999993</v>
      </c>
      <c r="BX38" s="665">
        <v>1600372.2459071141</v>
      </c>
      <c r="BY38" s="670"/>
      <c r="BZ38" s="380">
        <v>1600372.2459071141</v>
      </c>
      <c r="CA38" s="380">
        <f t="shared" si="0"/>
        <v>0</v>
      </c>
    </row>
    <row r="39" spans="1:79" ht="14.5" x14ac:dyDescent="0.35">
      <c r="A39" s="430">
        <v>138443</v>
      </c>
      <c r="B39" s="430">
        <v>8312007</v>
      </c>
      <c r="C39" s="431" t="s">
        <v>90</v>
      </c>
      <c r="D39" s="430">
        <v>409</v>
      </c>
      <c r="E39" s="432">
        <v>409</v>
      </c>
      <c r="F39" s="432">
        <v>0</v>
      </c>
      <c r="G39" s="432">
        <v>1662176</v>
      </c>
      <c r="H39" s="433">
        <v>0</v>
      </c>
      <c r="I39" s="433">
        <v>0</v>
      </c>
      <c r="J39" s="433">
        <v>62619.999999999905</v>
      </c>
      <c r="K39" s="433">
        <v>0</v>
      </c>
      <c r="L39" s="433">
        <v>151249.99999999971</v>
      </c>
      <c r="M39" s="433">
        <v>0</v>
      </c>
      <c r="N39" s="433">
        <v>7199.9999999999964</v>
      </c>
      <c r="O39" s="433">
        <v>18559.999999999884</v>
      </c>
      <c r="P39" s="433">
        <v>454.99999999999909</v>
      </c>
      <c r="Q39" s="433">
        <v>31499.999999999825</v>
      </c>
      <c r="R39" s="433">
        <v>77909.999999999927</v>
      </c>
      <c r="S39" s="433">
        <v>8399.9999999999727</v>
      </c>
      <c r="T39" s="433">
        <v>0</v>
      </c>
      <c r="U39" s="433">
        <v>0</v>
      </c>
      <c r="V39" s="433">
        <v>0</v>
      </c>
      <c r="W39" s="433">
        <v>0</v>
      </c>
      <c r="X39" s="433">
        <v>0</v>
      </c>
      <c r="Y39" s="433">
        <v>0</v>
      </c>
      <c r="Z39" s="433">
        <v>54887.8</v>
      </c>
      <c r="AA39" s="433">
        <v>0</v>
      </c>
      <c r="AB39" s="433">
        <v>131647.19471054693</v>
      </c>
      <c r="AC39" s="433">
        <v>0</v>
      </c>
      <c r="AD39" s="433">
        <v>8333.0999999999931</v>
      </c>
      <c r="AE39" s="433">
        <v>0</v>
      </c>
      <c r="AF39" s="433">
        <v>152700</v>
      </c>
      <c r="AG39" s="433">
        <v>0</v>
      </c>
      <c r="AH39" s="433">
        <v>0</v>
      </c>
      <c r="AI39" s="433">
        <v>0</v>
      </c>
      <c r="AJ39" s="433">
        <v>8190</v>
      </c>
      <c r="AK39" s="433">
        <v>0</v>
      </c>
      <c r="AL39" s="433">
        <v>0</v>
      </c>
      <c r="AM39" s="433">
        <v>0</v>
      </c>
      <c r="AN39" s="433">
        <v>0</v>
      </c>
      <c r="AO39" s="433">
        <v>0</v>
      </c>
      <c r="AP39" s="433">
        <v>0</v>
      </c>
      <c r="AQ39" s="433">
        <v>0</v>
      </c>
      <c r="AR39" s="433">
        <v>0</v>
      </c>
      <c r="AS39" s="433">
        <v>1662176</v>
      </c>
      <c r="AT39" s="433">
        <v>552763.0947105462</v>
      </c>
      <c r="AU39" s="433">
        <v>160890</v>
      </c>
      <c r="AV39" s="433">
        <v>402340.40753546753</v>
      </c>
      <c r="AW39" s="433">
        <v>2375829.0947105461</v>
      </c>
      <c r="AX39" s="434">
        <v>2367639.0947105461</v>
      </c>
      <c r="AY39" s="434">
        <v>5115</v>
      </c>
      <c r="AZ39" s="434">
        <v>2092035</v>
      </c>
      <c r="BA39" s="434">
        <v>0</v>
      </c>
      <c r="BB39" s="434">
        <v>0</v>
      </c>
      <c r="BC39" s="434">
        <v>2375829.0947105461</v>
      </c>
      <c r="BD39" s="434">
        <v>2375829.0947105465</v>
      </c>
      <c r="BE39" s="433">
        <v>0</v>
      </c>
      <c r="BF39" s="433">
        <v>2100225</v>
      </c>
      <c r="BG39" s="434">
        <v>1939335</v>
      </c>
      <c r="BH39" s="434">
        <v>2214939.0947105461</v>
      </c>
      <c r="BI39" s="433">
        <v>5415.4990090722395</v>
      </c>
      <c r="BJ39" s="433">
        <v>5266.1913426799001</v>
      </c>
      <c r="BK39" s="433">
        <v>2.8352115727788674E-2</v>
      </c>
      <c r="BL39" s="435">
        <v>-4.3358217690739895E-3</v>
      </c>
      <c r="BM39" s="433">
        <v>-9338.8062290535017</v>
      </c>
      <c r="BN39" s="433">
        <v>2366490.2884814925</v>
      </c>
      <c r="BO39" s="434">
        <v>5766.0153752603728</v>
      </c>
      <c r="BP39" s="434" t="s">
        <v>768</v>
      </c>
      <c r="BQ39" s="434">
        <v>5786.0398251381239</v>
      </c>
      <c r="BR39" s="434">
        <v>2.1760497509358823E-2</v>
      </c>
      <c r="BS39" s="659">
        <v>0</v>
      </c>
      <c r="BT39" s="433">
        <v>2366490.2884814925</v>
      </c>
      <c r="BU39" s="433">
        <v>0</v>
      </c>
      <c r="BV39" s="433">
        <v>2366490.2884814925</v>
      </c>
      <c r="BW39" s="433">
        <v>8190</v>
      </c>
      <c r="BX39" s="665">
        <v>2358300.2884814925</v>
      </c>
      <c r="BY39" s="670"/>
      <c r="BZ39" s="380">
        <v>2358300.2884814925</v>
      </c>
      <c r="CA39" s="380">
        <f t="shared" si="0"/>
        <v>0</v>
      </c>
    </row>
    <row r="40" spans="1:79" ht="14.5" x14ac:dyDescent="0.35">
      <c r="A40" s="430">
        <v>138514</v>
      </c>
      <c r="B40" s="430">
        <v>8312008</v>
      </c>
      <c r="C40" s="431" t="s">
        <v>91</v>
      </c>
      <c r="D40" s="430">
        <v>180</v>
      </c>
      <c r="E40" s="432">
        <v>180</v>
      </c>
      <c r="F40" s="432">
        <v>0</v>
      </c>
      <c r="G40" s="432">
        <v>731520</v>
      </c>
      <c r="H40" s="433">
        <v>0</v>
      </c>
      <c r="I40" s="433">
        <v>0</v>
      </c>
      <c r="J40" s="433">
        <v>18180</v>
      </c>
      <c r="K40" s="433">
        <v>0</v>
      </c>
      <c r="L40" s="433">
        <v>45979.999999999971</v>
      </c>
      <c r="M40" s="433">
        <v>0</v>
      </c>
      <c r="N40" s="433">
        <v>7405.714285714268</v>
      </c>
      <c r="O40" s="433">
        <v>7755.4285714285406</v>
      </c>
      <c r="P40" s="433">
        <v>0</v>
      </c>
      <c r="Q40" s="433">
        <v>19542.85714285713</v>
      </c>
      <c r="R40" s="433">
        <v>14173.71428571423</v>
      </c>
      <c r="S40" s="433">
        <v>7919.9999999999927</v>
      </c>
      <c r="T40" s="433">
        <v>0</v>
      </c>
      <c r="U40" s="433">
        <v>0</v>
      </c>
      <c r="V40" s="433">
        <v>0</v>
      </c>
      <c r="W40" s="433">
        <v>0</v>
      </c>
      <c r="X40" s="433">
        <v>0</v>
      </c>
      <c r="Y40" s="433">
        <v>0</v>
      </c>
      <c r="Z40" s="433">
        <v>19095.652173912949</v>
      </c>
      <c r="AA40" s="433">
        <v>0</v>
      </c>
      <c r="AB40" s="433">
        <v>63211.231986033315</v>
      </c>
      <c r="AC40" s="433">
        <v>0</v>
      </c>
      <c r="AD40" s="433">
        <v>5121.9999999999836</v>
      </c>
      <c r="AE40" s="433">
        <v>0</v>
      </c>
      <c r="AF40" s="433">
        <v>152700</v>
      </c>
      <c r="AG40" s="433">
        <v>0</v>
      </c>
      <c r="AH40" s="433">
        <v>0</v>
      </c>
      <c r="AI40" s="433">
        <v>0</v>
      </c>
      <c r="AJ40" s="433">
        <v>4366.25</v>
      </c>
      <c r="AK40" s="433">
        <v>0</v>
      </c>
      <c r="AL40" s="433">
        <v>0</v>
      </c>
      <c r="AM40" s="433">
        <v>0</v>
      </c>
      <c r="AN40" s="433">
        <v>0</v>
      </c>
      <c r="AO40" s="433">
        <v>0</v>
      </c>
      <c r="AP40" s="433">
        <v>0</v>
      </c>
      <c r="AQ40" s="433">
        <v>0</v>
      </c>
      <c r="AR40" s="433">
        <v>0</v>
      </c>
      <c r="AS40" s="433">
        <v>731520</v>
      </c>
      <c r="AT40" s="433">
        <v>208386.59844566035</v>
      </c>
      <c r="AU40" s="433">
        <v>157066.25</v>
      </c>
      <c r="AV40" s="433">
        <v>165471.76225644309</v>
      </c>
      <c r="AW40" s="433">
        <v>1096972.8484456604</v>
      </c>
      <c r="AX40" s="434">
        <v>1092606.5984456604</v>
      </c>
      <c r="AY40" s="434">
        <v>5115</v>
      </c>
      <c r="AZ40" s="434">
        <v>920700</v>
      </c>
      <c r="BA40" s="434">
        <v>0</v>
      </c>
      <c r="BB40" s="434">
        <v>0</v>
      </c>
      <c r="BC40" s="434">
        <v>1096972.8484456604</v>
      </c>
      <c r="BD40" s="434">
        <v>1096972.8484456604</v>
      </c>
      <c r="BE40" s="433">
        <v>0</v>
      </c>
      <c r="BF40" s="433">
        <v>925066.25</v>
      </c>
      <c r="BG40" s="434">
        <v>768000</v>
      </c>
      <c r="BH40" s="434">
        <v>939906.59844566043</v>
      </c>
      <c r="BI40" s="433">
        <v>5221.7033246981136</v>
      </c>
      <c r="BJ40" s="433">
        <v>4974.7807248618774</v>
      </c>
      <c r="BK40" s="433">
        <v>4.9634871061194755E-2</v>
      </c>
      <c r="BL40" s="435">
        <v>-1.8637833353122878E-2</v>
      </c>
      <c r="BM40" s="433">
        <v>-16689.444141294629</v>
      </c>
      <c r="BN40" s="433">
        <v>1080283.4043043659</v>
      </c>
      <c r="BO40" s="434">
        <v>5977.3175239131433</v>
      </c>
      <c r="BP40" s="434" t="s">
        <v>768</v>
      </c>
      <c r="BQ40" s="434">
        <v>6001.5744683575886</v>
      </c>
      <c r="BR40" s="434">
        <v>2.7363318040973139E-2</v>
      </c>
      <c r="BS40" s="659">
        <v>0</v>
      </c>
      <c r="BT40" s="433">
        <v>1080283.4043043659</v>
      </c>
      <c r="BU40" s="433">
        <v>0</v>
      </c>
      <c r="BV40" s="433">
        <v>1080283.4043043659</v>
      </c>
      <c r="BW40" s="433">
        <v>4366.25</v>
      </c>
      <c r="BX40" s="665">
        <v>1075917.1543043659</v>
      </c>
      <c r="BY40" s="670"/>
      <c r="BZ40" s="380">
        <v>1075917.1543043659</v>
      </c>
      <c r="CA40" s="380">
        <f t="shared" si="0"/>
        <v>0</v>
      </c>
    </row>
    <row r="41" spans="1:79" ht="14.5" x14ac:dyDescent="0.35">
      <c r="A41" s="430">
        <v>138790</v>
      </c>
      <c r="B41" s="430">
        <v>8312009</v>
      </c>
      <c r="C41" s="431" t="s">
        <v>92</v>
      </c>
      <c r="D41" s="430">
        <v>208</v>
      </c>
      <c r="E41" s="432">
        <v>208</v>
      </c>
      <c r="F41" s="432">
        <v>0</v>
      </c>
      <c r="G41" s="432">
        <v>845312</v>
      </c>
      <c r="H41" s="433">
        <v>0</v>
      </c>
      <c r="I41" s="433">
        <v>0</v>
      </c>
      <c r="J41" s="433">
        <v>65144.999999999927</v>
      </c>
      <c r="K41" s="433">
        <v>0</v>
      </c>
      <c r="L41" s="433">
        <v>157300</v>
      </c>
      <c r="M41" s="433">
        <v>0</v>
      </c>
      <c r="N41" s="433">
        <v>2399.9999999999964</v>
      </c>
      <c r="O41" s="433">
        <v>6669.9999999999955</v>
      </c>
      <c r="P41" s="433">
        <v>909.99999999999955</v>
      </c>
      <c r="Q41" s="433">
        <v>26999.999999999938</v>
      </c>
      <c r="R41" s="433">
        <v>32859.999999999993</v>
      </c>
      <c r="S41" s="433">
        <v>10499.999999999998</v>
      </c>
      <c r="T41" s="433">
        <v>0</v>
      </c>
      <c r="U41" s="433">
        <v>0</v>
      </c>
      <c r="V41" s="433">
        <v>0</v>
      </c>
      <c r="W41" s="433">
        <v>0</v>
      </c>
      <c r="X41" s="433">
        <v>0</v>
      </c>
      <c r="Y41" s="433">
        <v>0</v>
      </c>
      <c r="Z41" s="433">
        <v>24324.145077720146</v>
      </c>
      <c r="AA41" s="433">
        <v>0</v>
      </c>
      <c r="AB41" s="433">
        <v>120132.12286512104</v>
      </c>
      <c r="AC41" s="433">
        <v>0</v>
      </c>
      <c r="AD41" s="433">
        <v>14302.199999999941</v>
      </c>
      <c r="AE41" s="433">
        <v>0</v>
      </c>
      <c r="AF41" s="433">
        <v>152700</v>
      </c>
      <c r="AG41" s="433">
        <v>0</v>
      </c>
      <c r="AH41" s="433">
        <v>0</v>
      </c>
      <c r="AI41" s="433">
        <v>0</v>
      </c>
      <c r="AJ41" s="433">
        <v>4241.5</v>
      </c>
      <c r="AK41" s="433">
        <v>0</v>
      </c>
      <c r="AL41" s="433">
        <v>0</v>
      </c>
      <c r="AM41" s="433">
        <v>0</v>
      </c>
      <c r="AN41" s="433">
        <v>0</v>
      </c>
      <c r="AO41" s="433">
        <v>0</v>
      </c>
      <c r="AP41" s="433">
        <v>0</v>
      </c>
      <c r="AQ41" s="433">
        <v>0</v>
      </c>
      <c r="AR41" s="433">
        <v>0</v>
      </c>
      <c r="AS41" s="433">
        <v>845312</v>
      </c>
      <c r="AT41" s="433">
        <v>461543.46794284106</v>
      </c>
      <c r="AU41" s="433">
        <v>156941.5</v>
      </c>
      <c r="AV41" s="433">
        <v>274559.74591358198</v>
      </c>
      <c r="AW41" s="433">
        <v>1463796.9679428411</v>
      </c>
      <c r="AX41" s="434">
        <v>1459555.4679428411</v>
      </c>
      <c r="AY41" s="434">
        <v>5115</v>
      </c>
      <c r="AZ41" s="434">
        <v>1063920</v>
      </c>
      <c r="BA41" s="434">
        <v>0</v>
      </c>
      <c r="BB41" s="434">
        <v>0</v>
      </c>
      <c r="BC41" s="434">
        <v>1463796.9679428411</v>
      </c>
      <c r="BD41" s="434">
        <v>1463796.9679428411</v>
      </c>
      <c r="BE41" s="433">
        <v>0</v>
      </c>
      <c r="BF41" s="433">
        <v>1068161.5</v>
      </c>
      <c r="BG41" s="434">
        <v>911220</v>
      </c>
      <c r="BH41" s="434">
        <v>1306855.4679428411</v>
      </c>
      <c r="BI41" s="433">
        <v>6282.958980494428</v>
      </c>
      <c r="BJ41" s="433">
        <v>5911.7752877934272</v>
      </c>
      <c r="BK41" s="433">
        <v>6.2787178915175809E-2</v>
      </c>
      <c r="BL41" s="435">
        <v>-2.7476184230998145E-2</v>
      </c>
      <c r="BM41" s="433">
        <v>-33786.069603452248</v>
      </c>
      <c r="BN41" s="433">
        <v>1430010.8983393889</v>
      </c>
      <c r="BO41" s="434">
        <v>6854.66056893937</v>
      </c>
      <c r="BP41" s="434" t="s">
        <v>768</v>
      </c>
      <c r="BQ41" s="434">
        <v>6875.0523958624462</v>
      </c>
      <c r="BR41" s="434">
        <v>3.3998584547133559E-2</v>
      </c>
      <c r="BS41" s="659">
        <v>0</v>
      </c>
      <c r="BT41" s="433">
        <v>1430010.8983393889</v>
      </c>
      <c r="BU41" s="433">
        <v>0</v>
      </c>
      <c r="BV41" s="433">
        <v>1430010.8983393889</v>
      </c>
      <c r="BW41" s="433">
        <v>4241.5</v>
      </c>
      <c r="BX41" s="665">
        <v>1425769.3983393889</v>
      </c>
      <c r="BY41" s="670"/>
      <c r="BZ41" s="380">
        <v>1425769.3983393889</v>
      </c>
      <c r="CA41" s="380">
        <f t="shared" ref="CA41:CA72" si="1">+BZ41-BX41</f>
        <v>0</v>
      </c>
    </row>
    <row r="42" spans="1:79" ht="14.5" x14ac:dyDescent="0.35">
      <c r="A42" s="430">
        <v>138992</v>
      </c>
      <c r="B42" s="430">
        <v>8312010</v>
      </c>
      <c r="C42" s="431" t="s">
        <v>93</v>
      </c>
      <c r="D42" s="430">
        <v>203</v>
      </c>
      <c r="E42" s="432">
        <v>203</v>
      </c>
      <c r="F42" s="432">
        <v>0</v>
      </c>
      <c r="G42" s="432">
        <v>824992</v>
      </c>
      <c r="H42" s="433">
        <v>0</v>
      </c>
      <c r="I42" s="433">
        <v>0</v>
      </c>
      <c r="J42" s="433">
        <v>59084.999999999927</v>
      </c>
      <c r="K42" s="433">
        <v>0</v>
      </c>
      <c r="L42" s="433">
        <v>141569.99999999983</v>
      </c>
      <c r="M42" s="433">
        <v>0</v>
      </c>
      <c r="N42" s="433">
        <v>0</v>
      </c>
      <c r="O42" s="433">
        <v>6089.9999999999436</v>
      </c>
      <c r="P42" s="433">
        <v>454.99999999999932</v>
      </c>
      <c r="Q42" s="433">
        <v>35499.999999999913</v>
      </c>
      <c r="R42" s="433">
        <v>35509.999999999913</v>
      </c>
      <c r="S42" s="433">
        <v>2099.9999999999986</v>
      </c>
      <c r="T42" s="433">
        <v>0</v>
      </c>
      <c r="U42" s="433">
        <v>0</v>
      </c>
      <c r="V42" s="433">
        <v>0</v>
      </c>
      <c r="W42" s="433">
        <v>0</v>
      </c>
      <c r="X42" s="433">
        <v>0</v>
      </c>
      <c r="Y42" s="433">
        <v>0</v>
      </c>
      <c r="Z42" s="433">
        <v>33964.799999999967</v>
      </c>
      <c r="AA42" s="433">
        <v>0</v>
      </c>
      <c r="AB42" s="433">
        <v>94235.863744834438</v>
      </c>
      <c r="AC42" s="433">
        <v>0</v>
      </c>
      <c r="AD42" s="433">
        <v>4830.5960396039482</v>
      </c>
      <c r="AE42" s="433">
        <v>0</v>
      </c>
      <c r="AF42" s="433">
        <v>152700</v>
      </c>
      <c r="AG42" s="433">
        <v>0</v>
      </c>
      <c r="AH42" s="433">
        <v>0</v>
      </c>
      <c r="AI42" s="433">
        <v>0</v>
      </c>
      <c r="AJ42" s="433">
        <v>4416.1499999999996</v>
      </c>
      <c r="AK42" s="433">
        <v>0</v>
      </c>
      <c r="AL42" s="433">
        <v>0</v>
      </c>
      <c r="AM42" s="433">
        <v>0</v>
      </c>
      <c r="AN42" s="433">
        <v>0</v>
      </c>
      <c r="AO42" s="433">
        <v>0</v>
      </c>
      <c r="AP42" s="433">
        <v>0</v>
      </c>
      <c r="AQ42" s="433">
        <v>0</v>
      </c>
      <c r="AR42" s="433">
        <v>0</v>
      </c>
      <c r="AS42" s="433">
        <v>824992</v>
      </c>
      <c r="AT42" s="433">
        <v>413341.25978443789</v>
      </c>
      <c r="AU42" s="433">
        <v>157116.15</v>
      </c>
      <c r="AV42" s="433">
        <v>249459.95540965791</v>
      </c>
      <c r="AW42" s="433">
        <v>1395449.4097844379</v>
      </c>
      <c r="AX42" s="434">
        <v>1391033.2597844379</v>
      </c>
      <c r="AY42" s="434">
        <v>5115</v>
      </c>
      <c r="AZ42" s="434">
        <v>1038345</v>
      </c>
      <c r="BA42" s="434">
        <v>0</v>
      </c>
      <c r="BB42" s="434">
        <v>0</v>
      </c>
      <c r="BC42" s="434">
        <v>1395449.4097844379</v>
      </c>
      <c r="BD42" s="434">
        <v>1395449.4097844381</v>
      </c>
      <c r="BE42" s="433">
        <v>0</v>
      </c>
      <c r="BF42" s="433">
        <v>1042761.15</v>
      </c>
      <c r="BG42" s="434">
        <v>885645</v>
      </c>
      <c r="BH42" s="434">
        <v>1238333.2597844379</v>
      </c>
      <c r="BI42" s="433">
        <v>6100.1638413026503</v>
      </c>
      <c r="BJ42" s="433">
        <v>5704.3742431372548</v>
      </c>
      <c r="BK42" s="433">
        <v>6.9383525921630579E-2</v>
      </c>
      <c r="BL42" s="435">
        <v>-3.1908929419335749E-2</v>
      </c>
      <c r="BM42" s="433">
        <v>-36950.156446465924</v>
      </c>
      <c r="BN42" s="433">
        <v>1358499.2533379719</v>
      </c>
      <c r="BO42" s="434">
        <v>6670.3601149653787</v>
      </c>
      <c r="BP42" s="434" t="s">
        <v>768</v>
      </c>
      <c r="BQ42" s="434">
        <v>6692.114548462916</v>
      </c>
      <c r="BR42" s="434">
        <v>3.3512938077665089E-2</v>
      </c>
      <c r="BS42" s="659">
        <v>0</v>
      </c>
      <c r="BT42" s="433">
        <v>1358499.2533379719</v>
      </c>
      <c r="BU42" s="433">
        <v>0</v>
      </c>
      <c r="BV42" s="433">
        <v>1358499.2533379719</v>
      </c>
      <c r="BW42" s="433">
        <v>4416.1499999999996</v>
      </c>
      <c r="BX42" s="665">
        <v>1354083.103337972</v>
      </c>
      <c r="BY42" s="670"/>
      <c r="BZ42" s="380">
        <v>1354083.103337972</v>
      </c>
      <c r="CA42" s="380">
        <f t="shared" si="1"/>
        <v>0</v>
      </c>
    </row>
    <row r="43" spans="1:79" ht="14.5" x14ac:dyDescent="0.35">
      <c r="A43" s="430">
        <v>140842</v>
      </c>
      <c r="B43" s="430">
        <v>8312011</v>
      </c>
      <c r="C43" s="431" t="s">
        <v>94</v>
      </c>
      <c r="D43" s="430">
        <v>220</v>
      </c>
      <c r="E43" s="432">
        <v>220</v>
      </c>
      <c r="F43" s="432">
        <v>0</v>
      </c>
      <c r="G43" s="432">
        <v>894080</v>
      </c>
      <c r="H43" s="433">
        <v>0</v>
      </c>
      <c r="I43" s="433">
        <v>0</v>
      </c>
      <c r="J43" s="433">
        <v>42924.999999999964</v>
      </c>
      <c r="K43" s="433">
        <v>0</v>
      </c>
      <c r="L43" s="433">
        <v>102849.99999999991</v>
      </c>
      <c r="M43" s="433">
        <v>0</v>
      </c>
      <c r="N43" s="433">
        <v>1446.5753424657532</v>
      </c>
      <c r="O43" s="433">
        <v>27675.799086757957</v>
      </c>
      <c r="P43" s="433">
        <v>15997.71689497712</v>
      </c>
      <c r="Q43" s="433">
        <v>16575.342465753391</v>
      </c>
      <c r="R43" s="433">
        <v>8518.721461187215</v>
      </c>
      <c r="S43" s="433">
        <v>2812.7853881278538</v>
      </c>
      <c r="T43" s="433">
        <v>0</v>
      </c>
      <c r="U43" s="433">
        <v>0</v>
      </c>
      <c r="V43" s="433">
        <v>0</v>
      </c>
      <c r="W43" s="433">
        <v>0</v>
      </c>
      <c r="X43" s="433">
        <v>0</v>
      </c>
      <c r="Y43" s="433">
        <v>0</v>
      </c>
      <c r="Z43" s="433">
        <v>28252.631578947279</v>
      </c>
      <c r="AA43" s="433">
        <v>0</v>
      </c>
      <c r="AB43" s="433">
        <v>85670.71524966268</v>
      </c>
      <c r="AC43" s="433">
        <v>0</v>
      </c>
      <c r="AD43" s="433">
        <v>5712.9999999999854</v>
      </c>
      <c r="AE43" s="433">
        <v>0</v>
      </c>
      <c r="AF43" s="433">
        <v>152700</v>
      </c>
      <c r="AG43" s="433">
        <v>0</v>
      </c>
      <c r="AH43" s="433">
        <v>0</v>
      </c>
      <c r="AI43" s="433">
        <v>0</v>
      </c>
      <c r="AJ43" s="433">
        <v>7862.4</v>
      </c>
      <c r="AK43" s="433">
        <v>0</v>
      </c>
      <c r="AL43" s="433">
        <v>0</v>
      </c>
      <c r="AM43" s="433">
        <v>0</v>
      </c>
      <c r="AN43" s="433">
        <v>0</v>
      </c>
      <c r="AO43" s="433">
        <v>0</v>
      </c>
      <c r="AP43" s="433">
        <v>0</v>
      </c>
      <c r="AQ43" s="433">
        <v>0</v>
      </c>
      <c r="AR43" s="433">
        <v>0</v>
      </c>
      <c r="AS43" s="433">
        <v>894080</v>
      </c>
      <c r="AT43" s="433">
        <v>338438.28746787913</v>
      </c>
      <c r="AU43" s="433">
        <v>160562.4</v>
      </c>
      <c r="AV43" s="433">
        <v>231644.3901482168</v>
      </c>
      <c r="AW43" s="433">
        <v>1393080.6874678792</v>
      </c>
      <c r="AX43" s="434">
        <v>1385218.2874678792</v>
      </c>
      <c r="AY43" s="434">
        <v>5115</v>
      </c>
      <c r="AZ43" s="434">
        <v>1125300</v>
      </c>
      <c r="BA43" s="434">
        <v>0</v>
      </c>
      <c r="BB43" s="434">
        <v>0</v>
      </c>
      <c r="BC43" s="434">
        <v>1393080.6874678792</v>
      </c>
      <c r="BD43" s="434">
        <v>1393080.6874678789</v>
      </c>
      <c r="BE43" s="433">
        <v>0</v>
      </c>
      <c r="BF43" s="433">
        <v>1133162.3999999999</v>
      </c>
      <c r="BG43" s="434">
        <v>972599.99999999988</v>
      </c>
      <c r="BH43" s="434">
        <v>1232518.2874678792</v>
      </c>
      <c r="BI43" s="433">
        <v>5602.3558521267241</v>
      </c>
      <c r="BJ43" s="433">
        <v>5285.7417918918918</v>
      </c>
      <c r="BK43" s="433">
        <v>5.9899645631669926E-2</v>
      </c>
      <c r="BL43" s="435">
        <v>-2.5535761864482191E-2</v>
      </c>
      <c r="BM43" s="433">
        <v>-29694.597608476404</v>
      </c>
      <c r="BN43" s="433">
        <v>1363386.0898594027</v>
      </c>
      <c r="BO43" s="434">
        <v>6161.4713175427405</v>
      </c>
      <c r="BP43" s="434" t="s">
        <v>768</v>
      </c>
      <c r="BQ43" s="434">
        <v>6197.2094993609217</v>
      </c>
      <c r="BR43" s="434">
        <v>3.1710536053948024E-2</v>
      </c>
      <c r="BS43" s="659">
        <v>0</v>
      </c>
      <c r="BT43" s="433">
        <v>1363386.0898594027</v>
      </c>
      <c r="BU43" s="433">
        <v>0</v>
      </c>
      <c r="BV43" s="433">
        <v>1363386.0898594027</v>
      </c>
      <c r="BW43" s="433">
        <v>7862.4</v>
      </c>
      <c r="BX43" s="665">
        <v>1355523.6898594028</v>
      </c>
      <c r="BY43" s="670"/>
      <c r="BZ43" s="380">
        <v>1355523.6898594028</v>
      </c>
      <c r="CA43" s="380">
        <f t="shared" si="1"/>
        <v>0</v>
      </c>
    </row>
    <row r="44" spans="1:79" ht="14.5" x14ac:dyDescent="0.35">
      <c r="A44" s="430">
        <v>141324</v>
      </c>
      <c r="B44" s="430">
        <v>8312012</v>
      </c>
      <c r="C44" s="431" t="s">
        <v>95</v>
      </c>
      <c r="D44" s="430">
        <v>260</v>
      </c>
      <c r="E44" s="432">
        <v>260</v>
      </c>
      <c r="F44" s="432">
        <v>0</v>
      </c>
      <c r="G44" s="432">
        <v>1056640</v>
      </c>
      <c r="H44" s="433">
        <v>0</v>
      </c>
      <c r="I44" s="433">
        <v>0</v>
      </c>
      <c r="J44" s="433">
        <v>80294.999999999927</v>
      </c>
      <c r="K44" s="433">
        <v>0</v>
      </c>
      <c r="L44" s="433">
        <v>192389.99999999983</v>
      </c>
      <c r="M44" s="433">
        <v>0</v>
      </c>
      <c r="N44" s="433">
        <v>2399.9999999999964</v>
      </c>
      <c r="O44" s="433">
        <v>2319.999999999995</v>
      </c>
      <c r="P44" s="433">
        <v>454.99999999999926</v>
      </c>
      <c r="Q44" s="433">
        <v>21999.999999999967</v>
      </c>
      <c r="R44" s="433">
        <v>77909.999999999956</v>
      </c>
      <c r="S44" s="433">
        <v>24499.999999999887</v>
      </c>
      <c r="T44" s="433">
        <v>0</v>
      </c>
      <c r="U44" s="433">
        <v>0</v>
      </c>
      <c r="V44" s="433">
        <v>0</v>
      </c>
      <c r="W44" s="433">
        <v>0</v>
      </c>
      <c r="X44" s="433">
        <v>0</v>
      </c>
      <c r="Y44" s="433">
        <v>0</v>
      </c>
      <c r="Z44" s="433">
        <v>34273.728813559283</v>
      </c>
      <c r="AA44" s="433">
        <v>0</v>
      </c>
      <c r="AB44" s="433">
        <v>137366.40880730227</v>
      </c>
      <c r="AC44" s="433">
        <v>0</v>
      </c>
      <c r="AD44" s="433">
        <v>25018.999999999822</v>
      </c>
      <c r="AE44" s="433">
        <v>0</v>
      </c>
      <c r="AF44" s="433">
        <v>152700</v>
      </c>
      <c r="AG44" s="433">
        <v>0</v>
      </c>
      <c r="AH44" s="433">
        <v>0</v>
      </c>
      <c r="AI44" s="433">
        <v>0</v>
      </c>
      <c r="AJ44" s="433">
        <v>9009</v>
      </c>
      <c r="AK44" s="433">
        <v>0</v>
      </c>
      <c r="AL44" s="433">
        <v>0</v>
      </c>
      <c r="AM44" s="433">
        <v>0</v>
      </c>
      <c r="AN44" s="433">
        <v>0</v>
      </c>
      <c r="AO44" s="433">
        <v>0</v>
      </c>
      <c r="AP44" s="433">
        <v>0</v>
      </c>
      <c r="AQ44" s="433">
        <v>0</v>
      </c>
      <c r="AR44" s="433">
        <v>0</v>
      </c>
      <c r="AS44" s="433">
        <v>1056640</v>
      </c>
      <c r="AT44" s="433">
        <v>598929.13762086083</v>
      </c>
      <c r="AU44" s="433">
        <v>161709</v>
      </c>
      <c r="AV44" s="433">
        <v>355764.26249440422</v>
      </c>
      <c r="AW44" s="433">
        <v>1817278.1376208607</v>
      </c>
      <c r="AX44" s="434">
        <v>1808269.1376208607</v>
      </c>
      <c r="AY44" s="434">
        <v>5115</v>
      </c>
      <c r="AZ44" s="434">
        <v>1329900</v>
      </c>
      <c r="BA44" s="434">
        <v>0</v>
      </c>
      <c r="BB44" s="434">
        <v>0</v>
      </c>
      <c r="BC44" s="434">
        <v>1817278.1376208607</v>
      </c>
      <c r="BD44" s="434">
        <v>1817278.1376208612</v>
      </c>
      <c r="BE44" s="433">
        <v>0</v>
      </c>
      <c r="BF44" s="433">
        <v>1338909</v>
      </c>
      <c r="BG44" s="434">
        <v>1177200</v>
      </c>
      <c r="BH44" s="434">
        <v>1655569.1376208607</v>
      </c>
      <c r="BI44" s="433">
        <v>6367.5736062340793</v>
      </c>
      <c r="BJ44" s="433">
        <v>6092.3820439862538</v>
      </c>
      <c r="BK44" s="433">
        <v>4.5169780926569612E-2</v>
      </c>
      <c r="BL44" s="435">
        <v>-1.5637292782654782E-2</v>
      </c>
      <c r="BM44" s="433">
        <v>-24769.774059056479</v>
      </c>
      <c r="BN44" s="433">
        <v>1792508.3635618042</v>
      </c>
      <c r="BO44" s="434">
        <v>6859.6129367761696</v>
      </c>
      <c r="BP44" s="434" t="s">
        <v>768</v>
      </c>
      <c r="BQ44" s="434">
        <v>6894.2629367761701</v>
      </c>
      <c r="BR44" s="434">
        <v>3.7331011383170631E-2</v>
      </c>
      <c r="BS44" s="659">
        <v>0</v>
      </c>
      <c r="BT44" s="433">
        <v>1792508.3635618042</v>
      </c>
      <c r="BU44" s="433">
        <v>0</v>
      </c>
      <c r="BV44" s="433">
        <v>1792508.3635618042</v>
      </c>
      <c r="BW44" s="433">
        <v>9009</v>
      </c>
      <c r="BX44" s="665">
        <v>1783499.3635618042</v>
      </c>
      <c r="BY44" s="670"/>
      <c r="BZ44" s="380">
        <v>1783499.3635618042</v>
      </c>
      <c r="CA44" s="380">
        <f t="shared" si="1"/>
        <v>0</v>
      </c>
    </row>
    <row r="45" spans="1:79" ht="14.5" x14ac:dyDescent="0.35">
      <c r="A45" s="430">
        <v>142041</v>
      </c>
      <c r="B45" s="430">
        <v>8312013</v>
      </c>
      <c r="C45" s="431" t="s">
        <v>96</v>
      </c>
      <c r="D45" s="430">
        <v>412</v>
      </c>
      <c r="E45" s="432">
        <v>412</v>
      </c>
      <c r="F45" s="432">
        <v>0</v>
      </c>
      <c r="G45" s="432">
        <v>1674368</v>
      </c>
      <c r="H45" s="433">
        <v>0</v>
      </c>
      <c r="I45" s="433">
        <v>0</v>
      </c>
      <c r="J45" s="433">
        <v>128774.9999999999</v>
      </c>
      <c r="K45" s="433">
        <v>0</v>
      </c>
      <c r="L45" s="433">
        <v>308549.99999999977</v>
      </c>
      <c r="M45" s="433">
        <v>0</v>
      </c>
      <c r="N45" s="433">
        <v>2159.9999999999941</v>
      </c>
      <c r="O45" s="433">
        <v>49589.999999999949</v>
      </c>
      <c r="P45" s="433">
        <v>32304.999999999884</v>
      </c>
      <c r="Q45" s="433">
        <v>33499.999999999804</v>
      </c>
      <c r="R45" s="433">
        <v>28619.999999999884</v>
      </c>
      <c r="S45" s="433">
        <v>9099.9999999999927</v>
      </c>
      <c r="T45" s="433">
        <v>0</v>
      </c>
      <c r="U45" s="433">
        <v>0</v>
      </c>
      <c r="V45" s="433">
        <v>0</v>
      </c>
      <c r="W45" s="433">
        <v>0</v>
      </c>
      <c r="X45" s="433">
        <v>0</v>
      </c>
      <c r="Y45" s="433">
        <v>0</v>
      </c>
      <c r="Z45" s="433">
        <v>113094</v>
      </c>
      <c r="AA45" s="433">
        <v>0</v>
      </c>
      <c r="AB45" s="433">
        <v>229828.86187027651</v>
      </c>
      <c r="AC45" s="433">
        <v>0</v>
      </c>
      <c r="AD45" s="433">
        <v>40660.799999999777</v>
      </c>
      <c r="AE45" s="433">
        <v>0</v>
      </c>
      <c r="AF45" s="433">
        <v>152700</v>
      </c>
      <c r="AG45" s="433">
        <v>0</v>
      </c>
      <c r="AH45" s="433">
        <v>0</v>
      </c>
      <c r="AI45" s="433">
        <v>0</v>
      </c>
      <c r="AJ45" s="433">
        <v>6442.8</v>
      </c>
      <c r="AK45" s="433">
        <v>0</v>
      </c>
      <c r="AL45" s="433">
        <v>0</v>
      </c>
      <c r="AM45" s="433">
        <v>0</v>
      </c>
      <c r="AN45" s="433">
        <v>0</v>
      </c>
      <c r="AO45" s="433">
        <v>0</v>
      </c>
      <c r="AP45" s="433">
        <v>0</v>
      </c>
      <c r="AQ45" s="433">
        <v>0</v>
      </c>
      <c r="AR45" s="433">
        <v>0</v>
      </c>
      <c r="AS45" s="433">
        <v>1674368</v>
      </c>
      <c r="AT45" s="433">
        <v>976183.66187027551</v>
      </c>
      <c r="AU45" s="433">
        <v>159142.79999999999</v>
      </c>
      <c r="AV45" s="433">
        <v>576785.28080927208</v>
      </c>
      <c r="AW45" s="433">
        <v>2809694.4618702754</v>
      </c>
      <c r="AX45" s="434">
        <v>2803251.6618702756</v>
      </c>
      <c r="AY45" s="434">
        <v>5115</v>
      </c>
      <c r="AZ45" s="434">
        <v>2107380</v>
      </c>
      <c r="BA45" s="434">
        <v>0</v>
      </c>
      <c r="BB45" s="434">
        <v>0</v>
      </c>
      <c r="BC45" s="434">
        <v>2809694.4618702754</v>
      </c>
      <c r="BD45" s="434">
        <v>2809694.4618702764</v>
      </c>
      <c r="BE45" s="433">
        <v>0</v>
      </c>
      <c r="BF45" s="433">
        <v>2113822.7999999998</v>
      </c>
      <c r="BG45" s="434">
        <v>1954679.9999999998</v>
      </c>
      <c r="BH45" s="434">
        <v>2650551.6618702756</v>
      </c>
      <c r="BI45" s="433">
        <v>6433.3778200734841</v>
      </c>
      <c r="BJ45" s="433">
        <v>6476.4293694312792</v>
      </c>
      <c r="BK45" s="433">
        <v>-6.6474205000981177E-3</v>
      </c>
      <c r="BL45" s="435">
        <v>6.6474205000981177E-3</v>
      </c>
      <c r="BM45" s="433">
        <v>17737.238335411545</v>
      </c>
      <c r="BN45" s="433">
        <v>2827431.700205687</v>
      </c>
      <c r="BO45" s="434">
        <v>6847.0604373924443</v>
      </c>
      <c r="BP45" s="434" t="s">
        <v>768</v>
      </c>
      <c r="BQ45" s="434">
        <v>6862.6983014701136</v>
      </c>
      <c r="BR45" s="434">
        <v>1.7053859219355871E-3</v>
      </c>
      <c r="BS45" s="659">
        <v>0</v>
      </c>
      <c r="BT45" s="433">
        <v>2827431.700205687</v>
      </c>
      <c r="BU45" s="433">
        <v>0</v>
      </c>
      <c r="BV45" s="433">
        <v>2827431.700205687</v>
      </c>
      <c r="BW45" s="433">
        <v>6442.8</v>
      </c>
      <c r="BX45" s="665">
        <v>2820988.9002056872</v>
      </c>
      <c r="BY45" s="670"/>
      <c r="BZ45" s="380">
        <v>2820988.9002056872</v>
      </c>
      <c r="CA45" s="380">
        <f t="shared" si="1"/>
        <v>0</v>
      </c>
    </row>
    <row r="46" spans="1:79" ht="14.5" x14ac:dyDescent="0.35">
      <c r="A46" s="430">
        <v>144343</v>
      </c>
      <c r="B46" s="430">
        <v>8312016</v>
      </c>
      <c r="C46" s="431" t="s">
        <v>98</v>
      </c>
      <c r="D46" s="430">
        <v>274</v>
      </c>
      <c r="E46" s="432">
        <v>274</v>
      </c>
      <c r="F46" s="432">
        <v>0</v>
      </c>
      <c r="G46" s="432">
        <v>1113536</v>
      </c>
      <c r="H46" s="433">
        <v>0</v>
      </c>
      <c r="I46" s="433">
        <v>0</v>
      </c>
      <c r="J46" s="433">
        <v>71709.999999999898</v>
      </c>
      <c r="K46" s="433">
        <v>0</v>
      </c>
      <c r="L46" s="433">
        <v>171819.99999999977</v>
      </c>
      <c r="M46" s="433">
        <v>0</v>
      </c>
      <c r="N46" s="433">
        <v>4559.9999999999964</v>
      </c>
      <c r="O46" s="433">
        <v>18559.999999999967</v>
      </c>
      <c r="P46" s="433">
        <v>1364.9999999999936</v>
      </c>
      <c r="Q46" s="433">
        <v>1999.9999999999998</v>
      </c>
      <c r="R46" s="433">
        <v>11129.999999999993</v>
      </c>
      <c r="S46" s="433">
        <v>97299.999999999854</v>
      </c>
      <c r="T46" s="433">
        <v>0</v>
      </c>
      <c r="U46" s="433">
        <v>0</v>
      </c>
      <c r="V46" s="433">
        <v>0</v>
      </c>
      <c r="W46" s="433">
        <v>0</v>
      </c>
      <c r="X46" s="433">
        <v>0</v>
      </c>
      <c r="Y46" s="433">
        <v>0</v>
      </c>
      <c r="Z46" s="433">
        <v>38570.769230769103</v>
      </c>
      <c r="AA46" s="433">
        <v>0</v>
      </c>
      <c r="AB46" s="433">
        <v>130322.00424235401</v>
      </c>
      <c r="AC46" s="433">
        <v>0</v>
      </c>
      <c r="AD46" s="433">
        <v>22221.59999999982</v>
      </c>
      <c r="AE46" s="433">
        <v>0</v>
      </c>
      <c r="AF46" s="433">
        <v>152700</v>
      </c>
      <c r="AG46" s="433">
        <v>0</v>
      </c>
      <c r="AH46" s="433">
        <v>0</v>
      </c>
      <c r="AI46" s="433">
        <v>0</v>
      </c>
      <c r="AJ46" s="433">
        <v>8572.2000000000007</v>
      </c>
      <c r="AK46" s="433">
        <v>0</v>
      </c>
      <c r="AL46" s="433">
        <v>0</v>
      </c>
      <c r="AM46" s="433">
        <v>0</v>
      </c>
      <c r="AN46" s="433">
        <v>0</v>
      </c>
      <c r="AO46" s="433">
        <v>0</v>
      </c>
      <c r="AP46" s="433">
        <v>0</v>
      </c>
      <c r="AQ46" s="433">
        <v>0</v>
      </c>
      <c r="AR46" s="433">
        <v>0</v>
      </c>
      <c r="AS46" s="433">
        <v>1113536</v>
      </c>
      <c r="AT46" s="433">
        <v>569559.37347312248</v>
      </c>
      <c r="AU46" s="433">
        <v>161272.20000000001</v>
      </c>
      <c r="AV46" s="433">
        <v>350633.88207235245</v>
      </c>
      <c r="AW46" s="433">
        <v>1844367.5734731224</v>
      </c>
      <c r="AX46" s="434">
        <v>1835795.3734731225</v>
      </c>
      <c r="AY46" s="434">
        <v>5115</v>
      </c>
      <c r="AZ46" s="434">
        <v>1401510</v>
      </c>
      <c r="BA46" s="434">
        <v>0</v>
      </c>
      <c r="BB46" s="434">
        <v>0</v>
      </c>
      <c r="BC46" s="434">
        <v>1844367.5734731224</v>
      </c>
      <c r="BD46" s="434">
        <v>1844367.5734731224</v>
      </c>
      <c r="BE46" s="433">
        <v>0</v>
      </c>
      <c r="BF46" s="433">
        <v>1410082.2</v>
      </c>
      <c r="BG46" s="434">
        <v>1248810</v>
      </c>
      <c r="BH46" s="434">
        <v>1683095.3734731225</v>
      </c>
      <c r="BI46" s="433">
        <v>6142.6838447924174</v>
      </c>
      <c r="BJ46" s="433">
        <v>5924.9482180147061</v>
      </c>
      <c r="BK46" s="433">
        <v>3.6748950162246108E-2</v>
      </c>
      <c r="BL46" s="435">
        <v>-9.9784945090293856E-3</v>
      </c>
      <c r="BM46" s="433">
        <v>-16199.445333169633</v>
      </c>
      <c r="BN46" s="433">
        <v>1828168.1281399529</v>
      </c>
      <c r="BO46" s="434">
        <v>6640.8610516056679</v>
      </c>
      <c r="BP46" s="434" t="s">
        <v>768</v>
      </c>
      <c r="BQ46" s="434">
        <v>6672.1464530655212</v>
      </c>
      <c r="BR46" s="434">
        <v>2.4793325736788718E-2</v>
      </c>
      <c r="BS46" s="659">
        <v>0</v>
      </c>
      <c r="BT46" s="433">
        <v>1828168.1281399529</v>
      </c>
      <c r="BU46" s="433">
        <v>0</v>
      </c>
      <c r="BV46" s="433">
        <v>1828168.1281399529</v>
      </c>
      <c r="BW46" s="433">
        <v>8572.2000000000007</v>
      </c>
      <c r="BX46" s="665">
        <v>1819595.9281399529</v>
      </c>
      <c r="BY46" s="670"/>
      <c r="BZ46" s="380">
        <v>1819595.9281399529</v>
      </c>
      <c r="CA46" s="380">
        <f t="shared" si="1"/>
        <v>0</v>
      </c>
    </row>
    <row r="47" spans="1:79" ht="14.5" x14ac:dyDescent="0.35">
      <c r="A47" s="430">
        <v>144466</v>
      </c>
      <c r="B47" s="430">
        <v>8312017</v>
      </c>
      <c r="C47" s="431" t="s">
        <v>99</v>
      </c>
      <c r="D47" s="430">
        <v>357</v>
      </c>
      <c r="E47" s="432">
        <v>357</v>
      </c>
      <c r="F47" s="432">
        <v>0</v>
      </c>
      <c r="G47" s="432">
        <v>1450848</v>
      </c>
      <c r="H47" s="433">
        <v>0</v>
      </c>
      <c r="I47" s="433">
        <v>0</v>
      </c>
      <c r="J47" s="433">
        <v>144429.99999999985</v>
      </c>
      <c r="K47" s="433">
        <v>0</v>
      </c>
      <c r="L47" s="433">
        <v>350899.99999999965</v>
      </c>
      <c r="M47" s="433">
        <v>0</v>
      </c>
      <c r="N47" s="433">
        <v>6720</v>
      </c>
      <c r="O47" s="433">
        <v>8699.9999999999945</v>
      </c>
      <c r="P47" s="433">
        <v>62789.99999999992</v>
      </c>
      <c r="Q47" s="433">
        <v>68999.999999999913</v>
      </c>
      <c r="R47" s="433">
        <v>5299.9999999999973</v>
      </c>
      <c r="S47" s="433">
        <v>5599.9999999999818</v>
      </c>
      <c r="T47" s="433">
        <v>0</v>
      </c>
      <c r="U47" s="433">
        <v>0</v>
      </c>
      <c r="V47" s="433">
        <v>0</v>
      </c>
      <c r="W47" s="433">
        <v>0</v>
      </c>
      <c r="X47" s="433">
        <v>0</v>
      </c>
      <c r="Y47" s="433">
        <v>0</v>
      </c>
      <c r="Z47" s="433">
        <v>75029.999999999898</v>
      </c>
      <c r="AA47" s="433">
        <v>0</v>
      </c>
      <c r="AB47" s="433">
        <v>169234.62652363395</v>
      </c>
      <c r="AC47" s="433">
        <v>0</v>
      </c>
      <c r="AD47" s="433">
        <v>6558.7719101123503</v>
      </c>
      <c r="AE47" s="433">
        <v>0</v>
      </c>
      <c r="AF47" s="433">
        <v>152700</v>
      </c>
      <c r="AG47" s="433">
        <v>0</v>
      </c>
      <c r="AH47" s="433">
        <v>0</v>
      </c>
      <c r="AI47" s="433">
        <v>0</v>
      </c>
      <c r="AJ47" s="433">
        <v>6168.44</v>
      </c>
      <c r="AK47" s="433">
        <v>0</v>
      </c>
      <c r="AL47" s="433">
        <v>0</v>
      </c>
      <c r="AM47" s="433">
        <v>0</v>
      </c>
      <c r="AN47" s="433">
        <v>0</v>
      </c>
      <c r="AO47" s="433">
        <v>0</v>
      </c>
      <c r="AP47" s="433">
        <v>0</v>
      </c>
      <c r="AQ47" s="433">
        <v>0</v>
      </c>
      <c r="AR47" s="433">
        <v>0</v>
      </c>
      <c r="AS47" s="433">
        <v>1450848</v>
      </c>
      <c r="AT47" s="433">
        <v>904263.39843374549</v>
      </c>
      <c r="AU47" s="433">
        <v>158868.44</v>
      </c>
      <c r="AV47" s="433">
        <v>500702.85275969293</v>
      </c>
      <c r="AW47" s="433">
        <v>2513979.8384337453</v>
      </c>
      <c r="AX47" s="434">
        <v>2507811.3984337454</v>
      </c>
      <c r="AY47" s="434">
        <v>5115</v>
      </c>
      <c r="AZ47" s="434">
        <v>1826055</v>
      </c>
      <c r="BA47" s="434">
        <v>0</v>
      </c>
      <c r="BB47" s="434">
        <v>0</v>
      </c>
      <c r="BC47" s="434">
        <v>2513979.8384337453</v>
      </c>
      <c r="BD47" s="434">
        <v>2513979.8384337458</v>
      </c>
      <c r="BE47" s="433">
        <v>0</v>
      </c>
      <c r="BF47" s="433">
        <v>1832223.44</v>
      </c>
      <c r="BG47" s="434">
        <v>1673355</v>
      </c>
      <c r="BH47" s="434">
        <v>2355111.3984337454</v>
      </c>
      <c r="BI47" s="433">
        <v>6596.9506958928441</v>
      </c>
      <c r="BJ47" s="433">
        <v>6267.6206810055855</v>
      </c>
      <c r="BK47" s="433">
        <v>5.2544662743441654E-2</v>
      </c>
      <c r="BL47" s="435">
        <v>-2.0593213363592794E-2</v>
      </c>
      <c r="BM47" s="433">
        <v>-46078.150637867278</v>
      </c>
      <c r="BN47" s="433">
        <v>2467901.6877958779</v>
      </c>
      <c r="BO47" s="434">
        <v>6895.611338363804</v>
      </c>
      <c r="BP47" s="434" t="s">
        <v>768</v>
      </c>
      <c r="BQ47" s="434">
        <v>6912.8898817811705</v>
      </c>
      <c r="BR47" s="434">
        <v>3.0681790974011136E-2</v>
      </c>
      <c r="BS47" s="659">
        <v>0</v>
      </c>
      <c r="BT47" s="433">
        <v>2467901.6877958779</v>
      </c>
      <c r="BU47" s="433">
        <v>0</v>
      </c>
      <c r="BV47" s="433">
        <v>2467901.6877958779</v>
      </c>
      <c r="BW47" s="433">
        <v>6168.44</v>
      </c>
      <c r="BX47" s="665">
        <v>2461733.247795878</v>
      </c>
      <c r="BY47" s="670"/>
      <c r="BZ47" s="380">
        <v>2461733.247795878</v>
      </c>
      <c r="CA47" s="380">
        <f t="shared" si="1"/>
        <v>0</v>
      </c>
    </row>
    <row r="48" spans="1:79" ht="14.5" x14ac:dyDescent="0.35">
      <c r="A48" s="430">
        <v>144624</v>
      </c>
      <c r="B48" s="430">
        <v>8312018</v>
      </c>
      <c r="C48" s="431" t="s">
        <v>100</v>
      </c>
      <c r="D48" s="430">
        <v>366</v>
      </c>
      <c r="E48" s="432">
        <v>366</v>
      </c>
      <c r="F48" s="432">
        <v>0</v>
      </c>
      <c r="G48" s="432">
        <v>1487424</v>
      </c>
      <c r="H48" s="433">
        <v>0</v>
      </c>
      <c r="I48" s="433">
        <v>0</v>
      </c>
      <c r="J48" s="433">
        <v>92919.999999999913</v>
      </c>
      <c r="K48" s="433">
        <v>0</v>
      </c>
      <c r="L48" s="433">
        <v>226269.99999999962</v>
      </c>
      <c r="M48" s="433">
        <v>0</v>
      </c>
      <c r="N48" s="433">
        <v>32160</v>
      </c>
      <c r="O48" s="433">
        <v>16819.999999999971</v>
      </c>
      <c r="P48" s="433">
        <v>17289.999999999858</v>
      </c>
      <c r="Q48" s="433">
        <v>1999.9999999999854</v>
      </c>
      <c r="R48" s="433">
        <v>12189.999999999998</v>
      </c>
      <c r="S48" s="433">
        <v>17499.999999999989</v>
      </c>
      <c r="T48" s="433">
        <v>0</v>
      </c>
      <c r="U48" s="433">
        <v>0</v>
      </c>
      <c r="V48" s="433">
        <v>0</v>
      </c>
      <c r="W48" s="433">
        <v>0</v>
      </c>
      <c r="X48" s="433">
        <v>0</v>
      </c>
      <c r="Y48" s="433">
        <v>0</v>
      </c>
      <c r="Z48" s="433">
        <v>16051.372549019607</v>
      </c>
      <c r="AA48" s="433">
        <v>0</v>
      </c>
      <c r="AB48" s="433">
        <v>178045.35361106112</v>
      </c>
      <c r="AC48" s="433">
        <v>0</v>
      </c>
      <c r="AD48" s="433">
        <v>3979.3999999999937</v>
      </c>
      <c r="AE48" s="433">
        <v>0</v>
      </c>
      <c r="AF48" s="433">
        <v>152700</v>
      </c>
      <c r="AG48" s="433">
        <v>0</v>
      </c>
      <c r="AH48" s="433">
        <v>0</v>
      </c>
      <c r="AI48" s="433">
        <v>0</v>
      </c>
      <c r="AJ48" s="433">
        <v>7098</v>
      </c>
      <c r="AK48" s="433">
        <v>0</v>
      </c>
      <c r="AL48" s="433">
        <v>0</v>
      </c>
      <c r="AM48" s="433">
        <v>0</v>
      </c>
      <c r="AN48" s="433">
        <v>0</v>
      </c>
      <c r="AO48" s="433">
        <v>0</v>
      </c>
      <c r="AP48" s="433">
        <v>0</v>
      </c>
      <c r="AQ48" s="433">
        <v>0</v>
      </c>
      <c r="AR48" s="433">
        <v>0</v>
      </c>
      <c r="AS48" s="433">
        <v>1487424</v>
      </c>
      <c r="AT48" s="433">
        <v>615226.1261600802</v>
      </c>
      <c r="AU48" s="433">
        <v>159798</v>
      </c>
      <c r="AV48" s="433">
        <v>398705.21685378114</v>
      </c>
      <c r="AW48" s="433">
        <v>2262448.1261600801</v>
      </c>
      <c r="AX48" s="434">
        <v>2255350.1261600801</v>
      </c>
      <c r="AY48" s="434">
        <v>5115</v>
      </c>
      <c r="AZ48" s="434">
        <v>1872090</v>
      </c>
      <c r="BA48" s="434">
        <v>0</v>
      </c>
      <c r="BB48" s="434">
        <v>0</v>
      </c>
      <c r="BC48" s="434">
        <v>2262448.1261600801</v>
      </c>
      <c r="BD48" s="434">
        <v>2262448.1261600801</v>
      </c>
      <c r="BE48" s="433">
        <v>0</v>
      </c>
      <c r="BF48" s="433">
        <v>1879188</v>
      </c>
      <c r="BG48" s="434">
        <v>1719390</v>
      </c>
      <c r="BH48" s="434">
        <v>2102650.1261600801</v>
      </c>
      <c r="BI48" s="433">
        <v>5744.9456998909291</v>
      </c>
      <c r="BJ48" s="433">
        <v>5541.210600280112</v>
      </c>
      <c r="BK48" s="433">
        <v>3.676725436144191E-2</v>
      </c>
      <c r="BL48" s="435">
        <v>-9.9907949308889656E-3</v>
      </c>
      <c r="BM48" s="433">
        <v>-20262.162152113629</v>
      </c>
      <c r="BN48" s="433">
        <v>2242185.9640079662</v>
      </c>
      <c r="BO48" s="434">
        <v>6106.79771586876</v>
      </c>
      <c r="BP48" s="434" t="s">
        <v>768</v>
      </c>
      <c r="BQ48" s="434">
        <v>6126.1911584917107</v>
      </c>
      <c r="BR48" s="434">
        <v>2.3148762993843386E-2</v>
      </c>
      <c r="BS48" s="659">
        <v>0</v>
      </c>
      <c r="BT48" s="433">
        <v>2242185.9640079662</v>
      </c>
      <c r="BU48" s="433">
        <v>0</v>
      </c>
      <c r="BV48" s="433">
        <v>2242185.9640079662</v>
      </c>
      <c r="BW48" s="433">
        <v>7098</v>
      </c>
      <c r="BX48" s="665">
        <v>2235087.9640079662</v>
      </c>
      <c r="BY48" s="670"/>
      <c r="BZ48" s="380">
        <v>2235087.9640079662</v>
      </c>
      <c r="CA48" s="380">
        <f t="shared" si="1"/>
        <v>0</v>
      </c>
    </row>
    <row r="49" spans="1:79" ht="14.5" x14ac:dyDescent="0.35">
      <c r="A49" s="430">
        <v>144822</v>
      </c>
      <c r="B49" s="430">
        <v>8312019</v>
      </c>
      <c r="C49" s="431" t="s">
        <v>101</v>
      </c>
      <c r="D49" s="430">
        <v>287</v>
      </c>
      <c r="E49" s="432">
        <v>287</v>
      </c>
      <c r="F49" s="432">
        <v>0</v>
      </c>
      <c r="G49" s="432">
        <v>1166368</v>
      </c>
      <c r="H49" s="433">
        <v>0</v>
      </c>
      <c r="I49" s="433">
        <v>0</v>
      </c>
      <c r="J49" s="433">
        <v>52519.999999999985</v>
      </c>
      <c r="K49" s="433">
        <v>0</v>
      </c>
      <c r="L49" s="433">
        <v>127049.99999999988</v>
      </c>
      <c r="M49" s="433">
        <v>0</v>
      </c>
      <c r="N49" s="433">
        <v>16319.999999999953</v>
      </c>
      <c r="O49" s="433">
        <v>12179.999999999987</v>
      </c>
      <c r="P49" s="433">
        <v>1819.9999999999925</v>
      </c>
      <c r="Q49" s="433">
        <v>0</v>
      </c>
      <c r="R49" s="433">
        <v>6889.9999999999909</v>
      </c>
      <c r="S49" s="433">
        <v>4199.9999999999927</v>
      </c>
      <c r="T49" s="433">
        <v>0</v>
      </c>
      <c r="U49" s="433">
        <v>0</v>
      </c>
      <c r="V49" s="433">
        <v>0</v>
      </c>
      <c r="W49" s="433">
        <v>0</v>
      </c>
      <c r="X49" s="433">
        <v>0</v>
      </c>
      <c r="Y49" s="433">
        <v>0</v>
      </c>
      <c r="Z49" s="433">
        <v>7929.9999999999891</v>
      </c>
      <c r="AA49" s="433">
        <v>0</v>
      </c>
      <c r="AB49" s="433">
        <v>111737.66224103131</v>
      </c>
      <c r="AC49" s="433">
        <v>0</v>
      </c>
      <c r="AD49" s="433">
        <v>0</v>
      </c>
      <c r="AE49" s="433">
        <v>0</v>
      </c>
      <c r="AF49" s="433">
        <v>152700</v>
      </c>
      <c r="AG49" s="433">
        <v>0</v>
      </c>
      <c r="AH49" s="433">
        <v>0</v>
      </c>
      <c r="AI49" s="433">
        <v>0</v>
      </c>
      <c r="AJ49" s="433">
        <v>5896.8</v>
      </c>
      <c r="AK49" s="433">
        <v>0</v>
      </c>
      <c r="AL49" s="433">
        <v>0</v>
      </c>
      <c r="AM49" s="433">
        <v>0</v>
      </c>
      <c r="AN49" s="433">
        <v>0</v>
      </c>
      <c r="AO49" s="433">
        <v>0</v>
      </c>
      <c r="AP49" s="433">
        <v>0</v>
      </c>
      <c r="AQ49" s="433">
        <v>0</v>
      </c>
      <c r="AR49" s="433">
        <v>0</v>
      </c>
      <c r="AS49" s="433">
        <v>1166368</v>
      </c>
      <c r="AT49" s="433">
        <v>340647.66224103112</v>
      </c>
      <c r="AU49" s="433">
        <v>158596.79999999999</v>
      </c>
      <c r="AV49" s="433">
        <v>260423.10093996345</v>
      </c>
      <c r="AW49" s="433">
        <v>1665612.4622410312</v>
      </c>
      <c r="AX49" s="434">
        <v>1659715.6622410312</v>
      </c>
      <c r="AY49" s="434">
        <v>5115</v>
      </c>
      <c r="AZ49" s="434">
        <v>1468005</v>
      </c>
      <c r="BA49" s="434">
        <v>0</v>
      </c>
      <c r="BB49" s="434">
        <v>0</v>
      </c>
      <c r="BC49" s="434">
        <v>1665612.4622410312</v>
      </c>
      <c r="BD49" s="434">
        <v>1665612.4622410315</v>
      </c>
      <c r="BE49" s="433">
        <v>0</v>
      </c>
      <c r="BF49" s="433">
        <v>1473901.8</v>
      </c>
      <c r="BG49" s="434">
        <v>1315305</v>
      </c>
      <c r="BH49" s="434">
        <v>1507015.6622410312</v>
      </c>
      <c r="BI49" s="433">
        <v>5250.9256524077746</v>
      </c>
      <c r="BJ49" s="433">
        <v>5102.8846654485051</v>
      </c>
      <c r="BK49" s="433">
        <v>2.9011235147376746E-2</v>
      </c>
      <c r="BL49" s="435">
        <v>-4.7787500190371738E-3</v>
      </c>
      <c r="BM49" s="433">
        <v>-6998.6127251489288</v>
      </c>
      <c r="BN49" s="433">
        <v>1658613.8495158823</v>
      </c>
      <c r="BO49" s="434">
        <v>5758.5959913445377</v>
      </c>
      <c r="BP49" s="434" t="s">
        <v>768</v>
      </c>
      <c r="BQ49" s="434">
        <v>5779.1423328079527</v>
      </c>
      <c r="BR49" s="434">
        <v>2.6752215661651535E-2</v>
      </c>
      <c r="BS49" s="659">
        <v>0</v>
      </c>
      <c r="BT49" s="433">
        <v>1658613.8495158823</v>
      </c>
      <c r="BU49" s="433">
        <v>0</v>
      </c>
      <c r="BV49" s="433">
        <v>1658613.8495158823</v>
      </c>
      <c r="BW49" s="433">
        <v>5896.8</v>
      </c>
      <c r="BX49" s="665">
        <v>1652717.0495158823</v>
      </c>
      <c r="BY49" s="670"/>
      <c r="BZ49" s="380">
        <v>1652717.0495158823</v>
      </c>
      <c r="CA49" s="380">
        <f t="shared" si="1"/>
        <v>0</v>
      </c>
    </row>
    <row r="50" spans="1:79" ht="14.5" x14ac:dyDescent="0.35">
      <c r="A50" s="430">
        <v>145855</v>
      </c>
      <c r="B50" s="430">
        <v>8312020</v>
      </c>
      <c r="C50" s="431" t="s">
        <v>102</v>
      </c>
      <c r="D50" s="430">
        <v>391</v>
      </c>
      <c r="E50" s="432">
        <v>391</v>
      </c>
      <c r="F50" s="432">
        <v>0</v>
      </c>
      <c r="G50" s="432">
        <v>1589024</v>
      </c>
      <c r="H50" s="433">
        <v>0</v>
      </c>
      <c r="I50" s="433">
        <v>0</v>
      </c>
      <c r="J50" s="433">
        <v>74234.999999999913</v>
      </c>
      <c r="K50" s="433">
        <v>0</v>
      </c>
      <c r="L50" s="433">
        <v>189970</v>
      </c>
      <c r="M50" s="433">
        <v>0</v>
      </c>
      <c r="N50" s="433">
        <v>59431.999999999964</v>
      </c>
      <c r="O50" s="433">
        <v>5233.3846153846089</v>
      </c>
      <c r="P50" s="433">
        <v>456.16666666666595</v>
      </c>
      <c r="Q50" s="433">
        <v>30578.205128205045</v>
      </c>
      <c r="R50" s="433">
        <v>531.35897435897357</v>
      </c>
      <c r="S50" s="433">
        <v>7719.743589743588</v>
      </c>
      <c r="T50" s="433">
        <v>0</v>
      </c>
      <c r="U50" s="433">
        <v>0</v>
      </c>
      <c r="V50" s="433">
        <v>0</v>
      </c>
      <c r="W50" s="433">
        <v>0</v>
      </c>
      <c r="X50" s="433">
        <v>0</v>
      </c>
      <c r="Y50" s="433">
        <v>0</v>
      </c>
      <c r="Z50" s="433">
        <v>22880.319767441852</v>
      </c>
      <c r="AA50" s="433">
        <v>0</v>
      </c>
      <c r="AB50" s="433">
        <v>175585.22895566555</v>
      </c>
      <c r="AC50" s="433">
        <v>0</v>
      </c>
      <c r="AD50" s="433">
        <v>5456.9000000000005</v>
      </c>
      <c r="AE50" s="433">
        <v>0</v>
      </c>
      <c r="AF50" s="433">
        <v>152700</v>
      </c>
      <c r="AG50" s="433">
        <v>0</v>
      </c>
      <c r="AH50" s="433">
        <v>0</v>
      </c>
      <c r="AI50" s="433">
        <v>0</v>
      </c>
      <c r="AJ50" s="433">
        <v>6988.8</v>
      </c>
      <c r="AK50" s="433">
        <v>0</v>
      </c>
      <c r="AL50" s="433">
        <v>0</v>
      </c>
      <c r="AM50" s="433">
        <v>0</v>
      </c>
      <c r="AN50" s="433">
        <v>0</v>
      </c>
      <c r="AO50" s="433">
        <v>0</v>
      </c>
      <c r="AP50" s="433">
        <v>0</v>
      </c>
      <c r="AQ50" s="433">
        <v>0</v>
      </c>
      <c r="AR50" s="433">
        <v>0</v>
      </c>
      <c r="AS50" s="433">
        <v>1589024</v>
      </c>
      <c r="AT50" s="433">
        <v>572078.30769746623</v>
      </c>
      <c r="AU50" s="433">
        <v>159688.79999999999</v>
      </c>
      <c r="AV50" s="433">
        <v>396972.08156219404</v>
      </c>
      <c r="AW50" s="433">
        <v>2320791.1076974659</v>
      </c>
      <c r="AX50" s="434">
        <v>2313802.3076974661</v>
      </c>
      <c r="AY50" s="434">
        <v>5115</v>
      </c>
      <c r="AZ50" s="434">
        <v>1999965</v>
      </c>
      <c r="BA50" s="434">
        <v>0</v>
      </c>
      <c r="BB50" s="434">
        <v>0</v>
      </c>
      <c r="BC50" s="434">
        <v>2320791.1076974659</v>
      </c>
      <c r="BD50" s="434">
        <v>2320791.1076974659</v>
      </c>
      <c r="BE50" s="433">
        <v>0</v>
      </c>
      <c r="BF50" s="433">
        <v>2006953.8</v>
      </c>
      <c r="BG50" s="434">
        <v>1847265</v>
      </c>
      <c r="BH50" s="434">
        <v>2161102.3076974661</v>
      </c>
      <c r="BI50" s="433">
        <v>5527.1158764641077</v>
      </c>
      <c r="BJ50" s="433">
        <v>5469.0504220873781</v>
      </c>
      <c r="BK50" s="433">
        <v>1.0617099842822015E-2</v>
      </c>
      <c r="BL50" s="435">
        <v>0</v>
      </c>
      <c r="BM50" s="433">
        <v>0</v>
      </c>
      <c r="BN50" s="433">
        <v>2320791.1076974659</v>
      </c>
      <c r="BO50" s="434">
        <v>5917.6529608630844</v>
      </c>
      <c r="BP50" s="434" t="s">
        <v>768</v>
      </c>
      <c r="BQ50" s="434">
        <v>5935.5271296610381</v>
      </c>
      <c r="BR50" s="434">
        <v>1.4021011024313079E-2</v>
      </c>
      <c r="BS50" s="659">
        <v>0</v>
      </c>
      <c r="BT50" s="433">
        <v>2320791.1076974659</v>
      </c>
      <c r="BU50" s="433">
        <v>0</v>
      </c>
      <c r="BV50" s="433">
        <v>2320791.1076974659</v>
      </c>
      <c r="BW50" s="433">
        <v>6988.8</v>
      </c>
      <c r="BX50" s="665">
        <v>2313802.3076974661</v>
      </c>
      <c r="BY50" s="670"/>
      <c r="BZ50" s="380">
        <v>2313802.3076974661</v>
      </c>
      <c r="CA50" s="380">
        <f t="shared" si="1"/>
        <v>0</v>
      </c>
    </row>
    <row r="51" spans="1:79" ht="14.5" x14ac:dyDescent="0.35">
      <c r="A51" s="430">
        <v>146079</v>
      </c>
      <c r="B51" s="430">
        <v>8312021</v>
      </c>
      <c r="C51" s="431" t="s">
        <v>103</v>
      </c>
      <c r="D51" s="430">
        <v>603</v>
      </c>
      <c r="E51" s="432">
        <v>603</v>
      </c>
      <c r="F51" s="432">
        <v>0</v>
      </c>
      <c r="G51" s="432">
        <v>2450592</v>
      </c>
      <c r="H51" s="433">
        <v>0</v>
      </c>
      <c r="I51" s="433">
        <v>0</v>
      </c>
      <c r="J51" s="433">
        <v>190889.99999999997</v>
      </c>
      <c r="K51" s="433">
        <v>0</v>
      </c>
      <c r="L51" s="433">
        <v>459799.99999999977</v>
      </c>
      <c r="M51" s="433">
        <v>0</v>
      </c>
      <c r="N51" s="433">
        <v>2879.9999999999982</v>
      </c>
      <c r="O51" s="433">
        <v>6669.9999999999873</v>
      </c>
      <c r="P51" s="433">
        <v>9554.99999999998</v>
      </c>
      <c r="Q51" s="433">
        <v>9999.9999999999945</v>
      </c>
      <c r="R51" s="433">
        <v>72609.999999999796</v>
      </c>
      <c r="S51" s="433">
        <v>254800</v>
      </c>
      <c r="T51" s="433">
        <v>0</v>
      </c>
      <c r="U51" s="433">
        <v>0</v>
      </c>
      <c r="V51" s="433">
        <v>0</v>
      </c>
      <c r="W51" s="433">
        <v>0</v>
      </c>
      <c r="X51" s="433">
        <v>0</v>
      </c>
      <c r="Y51" s="433">
        <v>0</v>
      </c>
      <c r="Z51" s="433">
        <v>81035.344827585955</v>
      </c>
      <c r="AA51" s="433">
        <v>0</v>
      </c>
      <c r="AB51" s="433">
        <v>271874.81949794409</v>
      </c>
      <c r="AC51" s="433">
        <v>0</v>
      </c>
      <c r="AD51" s="433">
        <v>52173.322923587577</v>
      </c>
      <c r="AE51" s="433">
        <v>0</v>
      </c>
      <c r="AF51" s="433">
        <v>152700</v>
      </c>
      <c r="AG51" s="433">
        <v>0</v>
      </c>
      <c r="AH51" s="433">
        <v>0</v>
      </c>
      <c r="AI51" s="433">
        <v>0</v>
      </c>
      <c r="AJ51" s="433">
        <v>7207.2</v>
      </c>
      <c r="AK51" s="433">
        <v>0</v>
      </c>
      <c r="AL51" s="433">
        <v>0</v>
      </c>
      <c r="AM51" s="433">
        <v>0</v>
      </c>
      <c r="AN51" s="433">
        <v>0</v>
      </c>
      <c r="AO51" s="433">
        <v>0</v>
      </c>
      <c r="AP51" s="433">
        <v>0</v>
      </c>
      <c r="AQ51" s="433">
        <v>0</v>
      </c>
      <c r="AR51" s="433">
        <v>0</v>
      </c>
      <c r="AS51" s="433">
        <v>2450592</v>
      </c>
      <c r="AT51" s="433">
        <v>1412288.4872491171</v>
      </c>
      <c r="AU51" s="433">
        <v>159907.20000000001</v>
      </c>
      <c r="AV51" s="433">
        <v>829574.65490006073</v>
      </c>
      <c r="AW51" s="433">
        <v>4022787.6872491175</v>
      </c>
      <c r="AX51" s="434">
        <v>4015580.4872491173</v>
      </c>
      <c r="AY51" s="434">
        <v>5115</v>
      </c>
      <c r="AZ51" s="434">
        <v>3084345</v>
      </c>
      <c r="BA51" s="434">
        <v>0</v>
      </c>
      <c r="BB51" s="434">
        <v>0</v>
      </c>
      <c r="BC51" s="434">
        <v>4022787.6872491175</v>
      </c>
      <c r="BD51" s="434">
        <v>4022787.6872491175</v>
      </c>
      <c r="BE51" s="433">
        <v>0</v>
      </c>
      <c r="BF51" s="433">
        <v>3091552.2</v>
      </c>
      <c r="BG51" s="434">
        <v>2931645</v>
      </c>
      <c r="BH51" s="434">
        <v>3862880.4872491173</v>
      </c>
      <c r="BI51" s="433">
        <v>6406.1036272788015</v>
      </c>
      <c r="BJ51" s="433">
        <v>6270.2116868686871</v>
      </c>
      <c r="BK51" s="433">
        <v>2.1672624019170569E-2</v>
      </c>
      <c r="BL51" s="435">
        <v>0</v>
      </c>
      <c r="BM51" s="433">
        <v>0</v>
      </c>
      <c r="BN51" s="433">
        <v>4022787.6872491175</v>
      </c>
      <c r="BO51" s="434">
        <v>6659.3374581245725</v>
      </c>
      <c r="BP51" s="434" t="s">
        <v>768</v>
      </c>
      <c r="BQ51" s="434">
        <v>6671.289696930543</v>
      </c>
      <c r="BR51" s="434">
        <v>2.0552020137082572E-2</v>
      </c>
      <c r="BS51" s="659">
        <v>0</v>
      </c>
      <c r="BT51" s="433">
        <v>4022787.6872491175</v>
      </c>
      <c r="BU51" s="433">
        <v>0</v>
      </c>
      <c r="BV51" s="433">
        <v>4022787.6872491175</v>
      </c>
      <c r="BW51" s="433">
        <v>7207.2</v>
      </c>
      <c r="BX51" s="665">
        <v>4015580.4872491173</v>
      </c>
      <c r="BY51" s="670"/>
      <c r="BZ51" s="380">
        <v>4015580.4872491173</v>
      </c>
      <c r="CA51" s="380">
        <f t="shared" si="1"/>
        <v>0</v>
      </c>
    </row>
    <row r="52" spans="1:79" ht="14.5" x14ac:dyDescent="0.35">
      <c r="A52" s="430">
        <v>146080</v>
      </c>
      <c r="B52" s="430">
        <v>8312022</v>
      </c>
      <c r="C52" s="431" t="s">
        <v>104</v>
      </c>
      <c r="D52" s="430">
        <v>514</v>
      </c>
      <c r="E52" s="432">
        <v>514</v>
      </c>
      <c r="F52" s="432">
        <v>0</v>
      </c>
      <c r="G52" s="432">
        <v>2088896</v>
      </c>
      <c r="H52" s="433">
        <v>0</v>
      </c>
      <c r="I52" s="433">
        <v>0</v>
      </c>
      <c r="J52" s="433">
        <v>117664.99999999975</v>
      </c>
      <c r="K52" s="433">
        <v>0</v>
      </c>
      <c r="L52" s="433">
        <v>301289.99999999959</v>
      </c>
      <c r="M52" s="433">
        <v>0</v>
      </c>
      <c r="N52" s="433">
        <v>29934.716242661423</v>
      </c>
      <c r="O52" s="433">
        <v>32962.387475538097</v>
      </c>
      <c r="P52" s="433">
        <v>3203.6986301369861</v>
      </c>
      <c r="Q52" s="433">
        <v>42749.510763209335</v>
      </c>
      <c r="R52" s="433">
        <v>29321.135029353991</v>
      </c>
      <c r="S52" s="433">
        <v>22531.506849315047</v>
      </c>
      <c r="T52" s="433">
        <v>0</v>
      </c>
      <c r="U52" s="433">
        <v>0</v>
      </c>
      <c r="V52" s="433">
        <v>0</v>
      </c>
      <c r="W52" s="433">
        <v>0</v>
      </c>
      <c r="X52" s="433">
        <v>0</v>
      </c>
      <c r="Y52" s="433">
        <v>0</v>
      </c>
      <c r="Z52" s="433">
        <v>79935.47252747223</v>
      </c>
      <c r="AA52" s="433">
        <v>0</v>
      </c>
      <c r="AB52" s="433">
        <v>299921.33441424929</v>
      </c>
      <c r="AC52" s="433">
        <v>0</v>
      </c>
      <c r="AD52" s="433">
        <v>36602.599999999504</v>
      </c>
      <c r="AE52" s="433">
        <v>0</v>
      </c>
      <c r="AF52" s="433">
        <v>152700</v>
      </c>
      <c r="AG52" s="433">
        <v>0</v>
      </c>
      <c r="AH52" s="433">
        <v>0</v>
      </c>
      <c r="AI52" s="433">
        <v>0</v>
      </c>
      <c r="AJ52" s="433">
        <v>13322.4</v>
      </c>
      <c r="AK52" s="433">
        <v>209799</v>
      </c>
      <c r="AL52" s="433">
        <v>0</v>
      </c>
      <c r="AM52" s="433">
        <v>0</v>
      </c>
      <c r="AN52" s="433">
        <v>0</v>
      </c>
      <c r="AO52" s="433">
        <v>0</v>
      </c>
      <c r="AP52" s="433">
        <v>0</v>
      </c>
      <c r="AQ52" s="433">
        <v>0</v>
      </c>
      <c r="AR52" s="433">
        <v>0</v>
      </c>
      <c r="AS52" s="433">
        <v>2088896</v>
      </c>
      <c r="AT52" s="433">
        <v>996117.36193193519</v>
      </c>
      <c r="AU52" s="433">
        <v>375821.4</v>
      </c>
      <c r="AV52" s="433">
        <v>629335.97626232542</v>
      </c>
      <c r="AW52" s="433">
        <v>3460834.7619319349</v>
      </c>
      <c r="AX52" s="434">
        <v>3237713.361931935</v>
      </c>
      <c r="AY52" s="434">
        <v>5115</v>
      </c>
      <c r="AZ52" s="434">
        <v>2629110</v>
      </c>
      <c r="BA52" s="434">
        <v>0</v>
      </c>
      <c r="BB52" s="434">
        <v>0</v>
      </c>
      <c r="BC52" s="434">
        <v>3460834.7619319349</v>
      </c>
      <c r="BD52" s="434">
        <v>3460834.7619319349</v>
      </c>
      <c r="BE52" s="433">
        <v>0</v>
      </c>
      <c r="BF52" s="433">
        <v>2852231.4</v>
      </c>
      <c r="BG52" s="434">
        <v>2476410</v>
      </c>
      <c r="BH52" s="434">
        <v>3085013.361931935</v>
      </c>
      <c r="BI52" s="433">
        <v>6001.9715212683559</v>
      </c>
      <c r="BJ52" s="433">
        <v>5672.556496570397</v>
      </c>
      <c r="BK52" s="433">
        <v>5.8071704512263872E-2</v>
      </c>
      <c r="BL52" s="435">
        <v>-2.430738543224132E-2</v>
      </c>
      <c r="BM52" s="433">
        <v>-70872.898814226777</v>
      </c>
      <c r="BN52" s="433">
        <v>3389961.8631177079</v>
      </c>
      <c r="BO52" s="434">
        <v>6161.168216182311</v>
      </c>
      <c r="BP52" s="434" t="s">
        <v>768</v>
      </c>
      <c r="BQ52" s="434">
        <v>6595.2565430305604</v>
      </c>
      <c r="BR52" s="434">
        <v>3.9130163030507426E-2</v>
      </c>
      <c r="BS52" s="659">
        <v>0</v>
      </c>
      <c r="BT52" s="433">
        <v>3389961.8631177079</v>
      </c>
      <c r="BU52" s="433">
        <v>0</v>
      </c>
      <c r="BV52" s="433">
        <v>3389961.8631177079</v>
      </c>
      <c r="BW52" s="433">
        <v>13322.4</v>
      </c>
      <c r="BX52" s="665">
        <v>3376639.463117708</v>
      </c>
      <c r="BY52" s="670"/>
      <c r="BZ52" s="380">
        <v>3376639.463117708</v>
      </c>
      <c r="CA52" s="380">
        <f t="shared" si="1"/>
        <v>0</v>
      </c>
    </row>
    <row r="53" spans="1:79" ht="14.5" x14ac:dyDescent="0.35">
      <c r="A53" s="430">
        <v>145982</v>
      </c>
      <c r="B53" s="430">
        <v>8312023</v>
      </c>
      <c r="C53" s="431" t="s">
        <v>105</v>
      </c>
      <c r="D53" s="430">
        <v>126</v>
      </c>
      <c r="E53" s="432">
        <v>126</v>
      </c>
      <c r="F53" s="432">
        <v>0</v>
      </c>
      <c r="G53" s="432">
        <v>512064</v>
      </c>
      <c r="H53" s="433">
        <v>0</v>
      </c>
      <c r="I53" s="433">
        <v>0</v>
      </c>
      <c r="J53" s="433">
        <v>41409.999999999949</v>
      </c>
      <c r="K53" s="433">
        <v>0</v>
      </c>
      <c r="L53" s="433">
        <v>100429.9999999999</v>
      </c>
      <c r="M53" s="433">
        <v>0</v>
      </c>
      <c r="N53" s="433">
        <v>719.99999999999977</v>
      </c>
      <c r="O53" s="433">
        <v>2609.9999999999991</v>
      </c>
      <c r="P53" s="433">
        <v>4094.9999999999982</v>
      </c>
      <c r="Q53" s="433">
        <v>999.99999999999534</v>
      </c>
      <c r="R53" s="433">
        <v>45579.999999999964</v>
      </c>
      <c r="S53" s="433">
        <v>2099.9999999999995</v>
      </c>
      <c r="T53" s="433">
        <v>0</v>
      </c>
      <c r="U53" s="433">
        <v>0</v>
      </c>
      <c r="V53" s="433">
        <v>0</v>
      </c>
      <c r="W53" s="433">
        <v>0</v>
      </c>
      <c r="X53" s="433">
        <v>0</v>
      </c>
      <c r="Y53" s="433">
        <v>0</v>
      </c>
      <c r="Z53" s="433">
        <v>27207.079646017643</v>
      </c>
      <c r="AA53" s="433">
        <v>0</v>
      </c>
      <c r="AB53" s="433">
        <v>62842.98795180719</v>
      </c>
      <c r="AC53" s="433">
        <v>0</v>
      </c>
      <c r="AD53" s="433">
        <v>20133.399999999969</v>
      </c>
      <c r="AE53" s="433">
        <v>0</v>
      </c>
      <c r="AF53" s="433">
        <v>152700</v>
      </c>
      <c r="AG53" s="433">
        <v>0</v>
      </c>
      <c r="AH53" s="433">
        <v>0</v>
      </c>
      <c r="AI53" s="433">
        <v>0</v>
      </c>
      <c r="AJ53" s="433">
        <v>4990</v>
      </c>
      <c r="AK53" s="433">
        <v>34247</v>
      </c>
      <c r="AL53" s="433">
        <v>0</v>
      </c>
      <c r="AM53" s="433">
        <v>0</v>
      </c>
      <c r="AN53" s="433">
        <v>0</v>
      </c>
      <c r="AO53" s="433">
        <v>0</v>
      </c>
      <c r="AP53" s="433">
        <v>0</v>
      </c>
      <c r="AQ53" s="433">
        <v>0</v>
      </c>
      <c r="AR53" s="433">
        <v>0</v>
      </c>
      <c r="AS53" s="433">
        <v>512064</v>
      </c>
      <c r="AT53" s="433">
        <v>308128.46759782464</v>
      </c>
      <c r="AU53" s="433">
        <v>191937</v>
      </c>
      <c r="AV53" s="433">
        <v>184405.281151242</v>
      </c>
      <c r="AW53" s="433">
        <v>1012129.4675978246</v>
      </c>
      <c r="AX53" s="434">
        <v>972892.46759782464</v>
      </c>
      <c r="AY53" s="434">
        <v>5115</v>
      </c>
      <c r="AZ53" s="434">
        <v>644490</v>
      </c>
      <c r="BA53" s="434">
        <v>0</v>
      </c>
      <c r="BB53" s="434">
        <v>0</v>
      </c>
      <c r="BC53" s="434">
        <v>1012129.4675978246</v>
      </c>
      <c r="BD53" s="434">
        <v>1012129.4675978248</v>
      </c>
      <c r="BE53" s="433">
        <v>0</v>
      </c>
      <c r="BF53" s="433">
        <v>683727</v>
      </c>
      <c r="BG53" s="434">
        <v>491790</v>
      </c>
      <c r="BH53" s="434">
        <v>820192.46759782464</v>
      </c>
      <c r="BI53" s="433">
        <v>6509.4640285541636</v>
      </c>
      <c r="BJ53" s="433">
        <v>6204.7228846846847</v>
      </c>
      <c r="BK53" s="433">
        <v>4.9114384241346412E-2</v>
      </c>
      <c r="BL53" s="435">
        <v>-1.8288066210184792E-2</v>
      </c>
      <c r="BM53" s="433">
        <v>-14297.520249301249</v>
      </c>
      <c r="BN53" s="433">
        <v>997831.94734852342</v>
      </c>
      <c r="BO53" s="434">
        <v>7607.8964075279637</v>
      </c>
      <c r="BP53" s="434" t="s">
        <v>768</v>
      </c>
      <c r="BQ53" s="434">
        <v>7919.3011694327251</v>
      </c>
      <c r="BR53" s="434">
        <v>-1.7248208570054269E-3</v>
      </c>
      <c r="BS53" s="659">
        <v>0</v>
      </c>
      <c r="BT53" s="433">
        <v>997831.94734852342</v>
      </c>
      <c r="BU53" s="433">
        <v>0</v>
      </c>
      <c r="BV53" s="433">
        <v>997831.94734852342</v>
      </c>
      <c r="BW53" s="433">
        <v>4990</v>
      </c>
      <c r="BX53" s="665">
        <v>992841.94734852342</v>
      </c>
      <c r="BY53" s="670"/>
      <c r="BZ53" s="380">
        <v>992841.94734852342</v>
      </c>
      <c r="CA53" s="380">
        <f t="shared" si="1"/>
        <v>0</v>
      </c>
    </row>
    <row r="54" spans="1:79" ht="14.5" x14ac:dyDescent="0.35">
      <c r="A54" s="430">
        <v>147307</v>
      </c>
      <c r="B54" s="430">
        <v>8312024</v>
      </c>
      <c r="C54" s="431" t="s">
        <v>106</v>
      </c>
      <c r="D54" s="430">
        <v>206</v>
      </c>
      <c r="E54" s="432">
        <v>206</v>
      </c>
      <c r="F54" s="432">
        <v>0</v>
      </c>
      <c r="G54" s="432">
        <v>837184</v>
      </c>
      <c r="H54" s="433">
        <v>0</v>
      </c>
      <c r="I54" s="433">
        <v>0</v>
      </c>
      <c r="J54" s="433">
        <v>27774.999999999905</v>
      </c>
      <c r="K54" s="433">
        <v>0</v>
      </c>
      <c r="L54" s="433">
        <v>67759.999999999825</v>
      </c>
      <c r="M54" s="433">
        <v>0</v>
      </c>
      <c r="N54" s="433">
        <v>4080</v>
      </c>
      <c r="O54" s="433">
        <v>289.99999999999972</v>
      </c>
      <c r="P54" s="433">
        <v>0</v>
      </c>
      <c r="Q54" s="433">
        <v>1499.9999999999995</v>
      </c>
      <c r="R54" s="433">
        <v>0</v>
      </c>
      <c r="S54" s="433">
        <v>0</v>
      </c>
      <c r="T54" s="433">
        <v>0</v>
      </c>
      <c r="U54" s="433">
        <v>0</v>
      </c>
      <c r="V54" s="433">
        <v>0</v>
      </c>
      <c r="W54" s="433">
        <v>0</v>
      </c>
      <c r="X54" s="433">
        <v>0</v>
      </c>
      <c r="Y54" s="433">
        <v>0</v>
      </c>
      <c r="Z54" s="433">
        <v>10709.659090909088</v>
      </c>
      <c r="AA54" s="433">
        <v>0</v>
      </c>
      <c r="AB54" s="433">
        <v>72717.195471729588</v>
      </c>
      <c r="AC54" s="433">
        <v>0</v>
      </c>
      <c r="AD54" s="433">
        <v>5555.3999999999951</v>
      </c>
      <c r="AE54" s="433">
        <v>0</v>
      </c>
      <c r="AF54" s="433">
        <v>152700</v>
      </c>
      <c r="AG54" s="433">
        <v>0</v>
      </c>
      <c r="AH54" s="433">
        <v>0</v>
      </c>
      <c r="AI54" s="433">
        <v>0</v>
      </c>
      <c r="AJ54" s="433">
        <v>11029.2</v>
      </c>
      <c r="AK54" s="433">
        <v>0</v>
      </c>
      <c r="AL54" s="433">
        <v>0</v>
      </c>
      <c r="AM54" s="433">
        <v>0</v>
      </c>
      <c r="AN54" s="433">
        <v>0</v>
      </c>
      <c r="AO54" s="433">
        <v>0</v>
      </c>
      <c r="AP54" s="433">
        <v>0</v>
      </c>
      <c r="AQ54" s="433">
        <v>0</v>
      </c>
      <c r="AR54" s="433">
        <v>0</v>
      </c>
      <c r="AS54" s="433">
        <v>837184</v>
      </c>
      <c r="AT54" s="433">
        <v>190387.25456263841</v>
      </c>
      <c r="AU54" s="433">
        <v>163729.20000000001</v>
      </c>
      <c r="AV54" s="433">
        <v>171684.7723696937</v>
      </c>
      <c r="AW54" s="433">
        <v>1191300.4545626384</v>
      </c>
      <c r="AX54" s="434">
        <v>1180271.2545626385</v>
      </c>
      <c r="AY54" s="434">
        <v>5115</v>
      </c>
      <c r="AZ54" s="434">
        <v>1053690</v>
      </c>
      <c r="BA54" s="434">
        <v>0</v>
      </c>
      <c r="BB54" s="434">
        <v>0</v>
      </c>
      <c r="BC54" s="434">
        <v>1191300.4545626384</v>
      </c>
      <c r="BD54" s="434">
        <v>1191300.4545626384</v>
      </c>
      <c r="BE54" s="433">
        <v>0</v>
      </c>
      <c r="BF54" s="433">
        <v>1064719.2</v>
      </c>
      <c r="BG54" s="434">
        <v>900990</v>
      </c>
      <c r="BH54" s="434">
        <v>1027571.2545626385</v>
      </c>
      <c r="BI54" s="433">
        <v>4988.2099736050413</v>
      </c>
      <c r="BJ54" s="433">
        <v>4901.6545492753621</v>
      </c>
      <c r="BK54" s="433">
        <v>1.7658409718505189E-2</v>
      </c>
      <c r="BL54" s="435">
        <v>0</v>
      </c>
      <c r="BM54" s="433">
        <v>0</v>
      </c>
      <c r="BN54" s="433">
        <v>1191300.4545626384</v>
      </c>
      <c r="BO54" s="434">
        <v>5729.4721095273708</v>
      </c>
      <c r="BP54" s="434" t="s">
        <v>768</v>
      </c>
      <c r="BQ54" s="434">
        <v>5783.0119153526139</v>
      </c>
      <c r="BR54" s="434">
        <v>1.6472132319572674E-2</v>
      </c>
      <c r="BS54" s="659">
        <v>0</v>
      </c>
      <c r="BT54" s="433">
        <v>1191300.4545626384</v>
      </c>
      <c r="BU54" s="433">
        <v>0</v>
      </c>
      <c r="BV54" s="433">
        <v>1191300.4545626384</v>
      </c>
      <c r="BW54" s="433">
        <v>11029.2</v>
      </c>
      <c r="BX54" s="665">
        <v>1180271.2545626385</v>
      </c>
      <c r="BY54" s="670"/>
      <c r="BZ54" s="380">
        <v>1180271.2545626385</v>
      </c>
      <c r="CA54" s="380">
        <f t="shared" si="1"/>
        <v>0</v>
      </c>
    </row>
    <row r="55" spans="1:79" ht="14.5" x14ac:dyDescent="0.35">
      <c r="A55" s="430">
        <v>147725</v>
      </c>
      <c r="B55" s="430">
        <v>8312025</v>
      </c>
      <c r="C55" s="431" t="s">
        <v>107</v>
      </c>
      <c r="D55" s="430">
        <v>220</v>
      </c>
      <c r="E55" s="432">
        <v>220</v>
      </c>
      <c r="F55" s="432">
        <v>0</v>
      </c>
      <c r="G55" s="432">
        <v>894080</v>
      </c>
      <c r="H55" s="433">
        <v>0</v>
      </c>
      <c r="I55" s="433">
        <v>0</v>
      </c>
      <c r="J55" s="433">
        <v>35854.999999999913</v>
      </c>
      <c r="K55" s="433">
        <v>0</v>
      </c>
      <c r="L55" s="433">
        <v>85909.999999999796</v>
      </c>
      <c r="M55" s="433">
        <v>0</v>
      </c>
      <c r="N55" s="433">
        <v>2169.8630136986299</v>
      </c>
      <c r="O55" s="433">
        <v>6700.4566210045468</v>
      </c>
      <c r="P55" s="433">
        <v>5942.0091324200912</v>
      </c>
      <c r="Q55" s="433">
        <v>4520.5479452054788</v>
      </c>
      <c r="R55" s="433">
        <v>0</v>
      </c>
      <c r="S55" s="433">
        <v>2109.58904109589</v>
      </c>
      <c r="T55" s="433">
        <v>0</v>
      </c>
      <c r="U55" s="433">
        <v>0</v>
      </c>
      <c r="V55" s="433">
        <v>0</v>
      </c>
      <c r="W55" s="433">
        <v>0</v>
      </c>
      <c r="X55" s="433">
        <v>0</v>
      </c>
      <c r="Y55" s="433">
        <v>0</v>
      </c>
      <c r="Z55" s="433">
        <v>34769.999999999985</v>
      </c>
      <c r="AA55" s="433">
        <v>0</v>
      </c>
      <c r="AB55" s="433">
        <v>92464.715438678613</v>
      </c>
      <c r="AC55" s="433">
        <v>0</v>
      </c>
      <c r="AD55" s="433">
        <v>8668.0000000000018</v>
      </c>
      <c r="AE55" s="433">
        <v>0</v>
      </c>
      <c r="AF55" s="433">
        <v>152700</v>
      </c>
      <c r="AG55" s="433">
        <v>0</v>
      </c>
      <c r="AH55" s="433">
        <v>0</v>
      </c>
      <c r="AI55" s="433">
        <v>0</v>
      </c>
      <c r="AJ55" s="433">
        <v>3967.05</v>
      </c>
      <c r="AK55" s="433">
        <v>0</v>
      </c>
      <c r="AL55" s="433">
        <v>0</v>
      </c>
      <c r="AM55" s="433">
        <v>0</v>
      </c>
      <c r="AN55" s="433">
        <v>0</v>
      </c>
      <c r="AO55" s="433">
        <v>0</v>
      </c>
      <c r="AP55" s="433">
        <v>0</v>
      </c>
      <c r="AQ55" s="433">
        <v>0</v>
      </c>
      <c r="AR55" s="433">
        <v>0</v>
      </c>
      <c r="AS55" s="433">
        <v>894080</v>
      </c>
      <c r="AT55" s="433">
        <v>279110.18119210296</v>
      </c>
      <c r="AU55" s="433">
        <v>156667.04999999999</v>
      </c>
      <c r="AV55" s="433">
        <v>212957.42887021624</v>
      </c>
      <c r="AW55" s="433">
        <v>1329857.2311921029</v>
      </c>
      <c r="AX55" s="434">
        <v>1325890.1811921028</v>
      </c>
      <c r="AY55" s="434">
        <v>5115</v>
      </c>
      <c r="AZ55" s="434">
        <v>1125300</v>
      </c>
      <c r="BA55" s="434">
        <v>0</v>
      </c>
      <c r="BB55" s="434">
        <v>0</v>
      </c>
      <c r="BC55" s="434">
        <v>1329857.2311921029</v>
      </c>
      <c r="BD55" s="434">
        <v>1329857.2311921029</v>
      </c>
      <c r="BE55" s="433">
        <v>0</v>
      </c>
      <c r="BF55" s="433">
        <v>1129267.05</v>
      </c>
      <c r="BG55" s="434">
        <v>972600</v>
      </c>
      <c r="BH55" s="434">
        <v>1173190.1811921028</v>
      </c>
      <c r="BI55" s="433">
        <v>5332.6826417822858</v>
      </c>
      <c r="BJ55" s="433">
        <v>5059.712157480315</v>
      </c>
      <c r="BK55" s="433">
        <v>5.3949805009838217E-2</v>
      </c>
      <c r="BL55" s="435">
        <v>-2.1537468966611281E-2</v>
      </c>
      <c r="BM55" s="433">
        <v>-23974.14658577798</v>
      </c>
      <c r="BN55" s="433">
        <v>1305883.084606325</v>
      </c>
      <c r="BO55" s="434">
        <v>5917.8001573014772</v>
      </c>
      <c r="BP55" s="434" t="s">
        <v>768</v>
      </c>
      <c r="BQ55" s="434">
        <v>5935.8322027560225</v>
      </c>
      <c r="BR55" s="434">
        <v>4.5675882145175484E-2</v>
      </c>
      <c r="BS55" s="659">
        <v>0</v>
      </c>
      <c r="BT55" s="433">
        <v>1305883.084606325</v>
      </c>
      <c r="BU55" s="433">
        <v>0</v>
      </c>
      <c r="BV55" s="433">
        <v>1305883.084606325</v>
      </c>
      <c r="BW55" s="433">
        <v>3967.05</v>
      </c>
      <c r="BX55" s="665">
        <v>1301916.034606325</v>
      </c>
      <c r="BY55" s="670"/>
      <c r="BZ55" s="380">
        <v>1301916.034606325</v>
      </c>
      <c r="CA55" s="380">
        <f t="shared" si="1"/>
        <v>0</v>
      </c>
    </row>
    <row r="56" spans="1:79" ht="14.5" x14ac:dyDescent="0.35">
      <c r="A56" s="430">
        <v>148384</v>
      </c>
      <c r="B56" s="430">
        <v>8312026</v>
      </c>
      <c r="C56" s="431" t="s">
        <v>108</v>
      </c>
      <c r="D56" s="430">
        <v>442</v>
      </c>
      <c r="E56" s="432">
        <v>442</v>
      </c>
      <c r="F56" s="432">
        <v>0</v>
      </c>
      <c r="G56" s="432">
        <v>1796288</v>
      </c>
      <c r="H56" s="433">
        <v>0</v>
      </c>
      <c r="I56" s="433">
        <v>0</v>
      </c>
      <c r="J56" s="433">
        <v>78274.999999999956</v>
      </c>
      <c r="K56" s="433">
        <v>0</v>
      </c>
      <c r="L56" s="433">
        <v>198439.99999999977</v>
      </c>
      <c r="M56" s="433">
        <v>0</v>
      </c>
      <c r="N56" s="433">
        <v>56768.435374149609</v>
      </c>
      <c r="O56" s="433">
        <v>11626.303854875274</v>
      </c>
      <c r="P56" s="433">
        <v>2736.1904761904661</v>
      </c>
      <c r="Q56" s="433">
        <v>24054.421768707263</v>
      </c>
      <c r="R56" s="433">
        <v>4780.8163265306066</v>
      </c>
      <c r="S56" s="433">
        <v>34377.777777777737</v>
      </c>
      <c r="T56" s="433">
        <v>0</v>
      </c>
      <c r="U56" s="433">
        <v>0</v>
      </c>
      <c r="V56" s="433">
        <v>0</v>
      </c>
      <c r="W56" s="433">
        <v>0</v>
      </c>
      <c r="X56" s="433">
        <v>0</v>
      </c>
      <c r="Y56" s="433">
        <v>0</v>
      </c>
      <c r="Z56" s="433">
        <v>60383.645833333241</v>
      </c>
      <c r="AA56" s="433">
        <v>0</v>
      </c>
      <c r="AB56" s="433">
        <v>228595.41104577412</v>
      </c>
      <c r="AC56" s="433">
        <v>0</v>
      </c>
      <c r="AD56" s="433">
        <v>3427.7999999999925</v>
      </c>
      <c r="AE56" s="433">
        <v>0</v>
      </c>
      <c r="AF56" s="433">
        <v>152700</v>
      </c>
      <c r="AG56" s="433">
        <v>0</v>
      </c>
      <c r="AH56" s="433">
        <v>0</v>
      </c>
      <c r="AI56" s="433">
        <v>0</v>
      </c>
      <c r="AJ56" s="433">
        <v>7698.6</v>
      </c>
      <c r="AK56" s="433">
        <v>0</v>
      </c>
      <c r="AL56" s="433">
        <v>0</v>
      </c>
      <c r="AM56" s="433">
        <v>0</v>
      </c>
      <c r="AN56" s="433">
        <v>0</v>
      </c>
      <c r="AO56" s="433">
        <v>0</v>
      </c>
      <c r="AP56" s="433">
        <v>0</v>
      </c>
      <c r="AQ56" s="433">
        <v>0</v>
      </c>
      <c r="AR56" s="433">
        <v>0</v>
      </c>
      <c r="AS56" s="433">
        <v>1796288</v>
      </c>
      <c r="AT56" s="433">
        <v>703465.80245733808</v>
      </c>
      <c r="AU56" s="433">
        <v>160398.6</v>
      </c>
      <c r="AV56" s="433">
        <v>468644.1708662117</v>
      </c>
      <c r="AW56" s="433">
        <v>2660152.4024573383</v>
      </c>
      <c r="AX56" s="434">
        <v>2652453.8024573382</v>
      </c>
      <c r="AY56" s="434">
        <v>5115</v>
      </c>
      <c r="AZ56" s="434">
        <v>2260830</v>
      </c>
      <c r="BA56" s="434">
        <v>0</v>
      </c>
      <c r="BB56" s="434">
        <v>0</v>
      </c>
      <c r="BC56" s="434">
        <v>2660152.4024573383</v>
      </c>
      <c r="BD56" s="434">
        <v>2660152.4024573374</v>
      </c>
      <c r="BE56" s="433">
        <v>0</v>
      </c>
      <c r="BF56" s="433">
        <v>2268528.6</v>
      </c>
      <c r="BG56" s="434">
        <v>2108130</v>
      </c>
      <c r="BH56" s="434">
        <v>2499753.8024573382</v>
      </c>
      <c r="BI56" s="433">
        <v>5655.5515892699959</v>
      </c>
      <c r="BJ56" s="433">
        <v>5487.36291308204</v>
      </c>
      <c r="BK56" s="433">
        <v>3.0650182765748737E-2</v>
      </c>
      <c r="BL56" s="435">
        <v>-5.8801228185831516E-3</v>
      </c>
      <c r="BM56" s="433">
        <v>-14261.734602544793</v>
      </c>
      <c r="BN56" s="433">
        <v>2645890.6678547934</v>
      </c>
      <c r="BO56" s="434">
        <v>5968.7603345131074</v>
      </c>
      <c r="BP56" s="434" t="s">
        <v>768</v>
      </c>
      <c r="BQ56" s="434">
        <v>5986.177981571931</v>
      </c>
      <c r="BR56" s="434">
        <v>2.4768753833633861E-2</v>
      </c>
      <c r="BS56" s="659">
        <v>0</v>
      </c>
      <c r="BT56" s="433">
        <v>2645890.6678547934</v>
      </c>
      <c r="BU56" s="433">
        <v>0</v>
      </c>
      <c r="BV56" s="433">
        <v>2645890.6678547934</v>
      </c>
      <c r="BW56" s="433">
        <v>7698.6</v>
      </c>
      <c r="BX56" s="665">
        <v>2638192.0678547933</v>
      </c>
      <c r="BY56" s="670"/>
      <c r="BZ56" s="380">
        <v>2638192.0678547933</v>
      </c>
      <c r="CA56" s="380">
        <f t="shared" si="1"/>
        <v>0</v>
      </c>
    </row>
    <row r="57" spans="1:79" ht="14.5" x14ac:dyDescent="0.35">
      <c r="A57" s="430">
        <v>148585</v>
      </c>
      <c r="B57" s="430">
        <v>8312027</v>
      </c>
      <c r="C57" s="431" t="s">
        <v>109</v>
      </c>
      <c r="D57" s="430">
        <v>166.5</v>
      </c>
      <c r="E57" s="432">
        <v>166.5</v>
      </c>
      <c r="F57" s="432">
        <v>0</v>
      </c>
      <c r="G57" s="432">
        <v>676656</v>
      </c>
      <c r="H57" s="433">
        <v>0</v>
      </c>
      <c r="I57" s="433">
        <v>0</v>
      </c>
      <c r="J57" s="433">
        <v>15236.42617449663</v>
      </c>
      <c r="K57" s="433">
        <v>0</v>
      </c>
      <c r="L57" s="433">
        <v>36507.080536912719</v>
      </c>
      <c r="M57" s="433">
        <v>0</v>
      </c>
      <c r="N57" s="433">
        <v>1079.9999999999989</v>
      </c>
      <c r="O57" s="433">
        <v>34582.499999999993</v>
      </c>
      <c r="P57" s="433">
        <v>1535.6249999999945</v>
      </c>
      <c r="Q57" s="433">
        <v>10124.999999999949</v>
      </c>
      <c r="R57" s="433">
        <v>1192.4999999999989</v>
      </c>
      <c r="S57" s="433">
        <v>8662.4999999999982</v>
      </c>
      <c r="T57" s="433">
        <v>0</v>
      </c>
      <c r="U57" s="433">
        <v>0</v>
      </c>
      <c r="V57" s="433">
        <v>0</v>
      </c>
      <c r="W57" s="433">
        <v>0</v>
      </c>
      <c r="X57" s="433">
        <v>0</v>
      </c>
      <c r="Y57" s="433">
        <v>0</v>
      </c>
      <c r="Z57" s="433">
        <v>68556.375</v>
      </c>
      <c r="AA57" s="433">
        <v>0</v>
      </c>
      <c r="AB57" s="433">
        <v>129282.35294117652</v>
      </c>
      <c r="AC57" s="433">
        <v>0</v>
      </c>
      <c r="AD57" s="433">
        <v>26482.551342281862</v>
      </c>
      <c r="AE57" s="433">
        <v>0</v>
      </c>
      <c r="AF57" s="433">
        <v>152700</v>
      </c>
      <c r="AG57" s="433">
        <v>0</v>
      </c>
      <c r="AH57" s="433">
        <v>0</v>
      </c>
      <c r="AI57" s="433">
        <v>0</v>
      </c>
      <c r="AJ57" s="433">
        <v>6825</v>
      </c>
      <c r="AK57" s="433">
        <v>0</v>
      </c>
      <c r="AL57" s="433">
        <v>0</v>
      </c>
      <c r="AM57" s="433">
        <v>0</v>
      </c>
      <c r="AN57" s="433">
        <v>0</v>
      </c>
      <c r="AO57" s="433">
        <v>0</v>
      </c>
      <c r="AP57" s="433">
        <v>0</v>
      </c>
      <c r="AQ57" s="433">
        <v>0</v>
      </c>
      <c r="AR57" s="433">
        <v>0</v>
      </c>
      <c r="AS57" s="433">
        <v>676656</v>
      </c>
      <c r="AT57" s="433">
        <v>333242.91099486768</v>
      </c>
      <c r="AU57" s="433">
        <v>159525</v>
      </c>
      <c r="AV57" s="433">
        <v>219105.00411981836</v>
      </c>
      <c r="AW57" s="433">
        <v>1169423.9109948678</v>
      </c>
      <c r="AX57" s="434">
        <v>1162598.9109948678</v>
      </c>
      <c r="AY57" s="434">
        <v>5115</v>
      </c>
      <c r="AZ57" s="434">
        <v>851647.5</v>
      </c>
      <c r="BA57" s="434">
        <v>0</v>
      </c>
      <c r="BB57" s="434">
        <v>0</v>
      </c>
      <c r="BC57" s="434">
        <v>1169423.9109948678</v>
      </c>
      <c r="BD57" s="434">
        <v>1169423.9109948678</v>
      </c>
      <c r="BE57" s="433">
        <v>0</v>
      </c>
      <c r="BF57" s="433">
        <v>858472.5</v>
      </c>
      <c r="BG57" s="434">
        <v>698947.5</v>
      </c>
      <c r="BH57" s="434">
        <v>1009898.9109948678</v>
      </c>
      <c r="BI57" s="433">
        <v>6065.4589248941011</v>
      </c>
      <c r="BJ57" s="433">
        <v>6116.0889545787541</v>
      </c>
      <c r="BK57" s="433">
        <v>-8.2781709129245533E-3</v>
      </c>
      <c r="BL57" s="435">
        <v>8.2781709129245533E-3</v>
      </c>
      <c r="BM57" s="433">
        <v>8429.8999424947215</v>
      </c>
      <c r="BN57" s="433">
        <v>1177853.8109373625</v>
      </c>
      <c r="BO57" s="434">
        <v>7033.2060716958704</v>
      </c>
      <c r="BP57" s="434" t="s">
        <v>768</v>
      </c>
      <c r="BQ57" s="434">
        <v>7074.1970626868615</v>
      </c>
      <c r="BR57" s="434">
        <v>-2.8490722020123371E-2</v>
      </c>
      <c r="BS57" s="659">
        <v>0</v>
      </c>
      <c r="BT57" s="433">
        <v>1177853.8109373625</v>
      </c>
      <c r="BU57" s="433">
        <v>0</v>
      </c>
      <c r="BV57" s="433">
        <v>1177853.8109373625</v>
      </c>
      <c r="BW57" s="433">
        <v>6825</v>
      </c>
      <c r="BX57" s="665">
        <v>1171028.8109373625</v>
      </c>
      <c r="BY57" s="670"/>
      <c r="BZ57" s="380">
        <v>1171028.8109373625</v>
      </c>
      <c r="CA57" s="380">
        <f t="shared" si="1"/>
        <v>0</v>
      </c>
    </row>
    <row r="58" spans="1:79" ht="14.5" x14ac:dyDescent="0.35">
      <c r="A58" s="430">
        <v>149747</v>
      </c>
      <c r="B58" s="430">
        <v>8312028</v>
      </c>
      <c r="C58" s="431" t="s">
        <v>151</v>
      </c>
      <c r="D58" s="430">
        <v>106.25000000000001</v>
      </c>
      <c r="E58" s="432">
        <v>106.25000000000001</v>
      </c>
      <c r="F58" s="432">
        <v>0</v>
      </c>
      <c r="G58" s="432">
        <v>431800.00000000006</v>
      </c>
      <c r="H58" s="433">
        <v>0</v>
      </c>
      <c r="I58" s="433">
        <v>0</v>
      </c>
      <c r="J58" s="433">
        <v>11401.953125000002</v>
      </c>
      <c r="K58" s="433">
        <v>0</v>
      </c>
      <c r="L58" s="433">
        <v>27319.531250000004</v>
      </c>
      <c r="M58" s="433">
        <v>0</v>
      </c>
      <c r="N58" s="433">
        <v>3227.8481012658067</v>
      </c>
      <c r="O58" s="433">
        <v>4290.3481012657949</v>
      </c>
      <c r="P58" s="433">
        <v>0</v>
      </c>
      <c r="Q58" s="433">
        <v>1344.936708860758</v>
      </c>
      <c r="R58" s="433">
        <v>712.81645569619889</v>
      </c>
      <c r="S58" s="433">
        <v>7531.6455696202447</v>
      </c>
      <c r="T58" s="433">
        <v>0</v>
      </c>
      <c r="U58" s="433">
        <v>0</v>
      </c>
      <c r="V58" s="433">
        <v>0</v>
      </c>
      <c r="W58" s="433">
        <v>0</v>
      </c>
      <c r="X58" s="433">
        <v>0</v>
      </c>
      <c r="Y58" s="433">
        <v>0</v>
      </c>
      <c r="Z58" s="433">
        <v>8724.7596153845752</v>
      </c>
      <c r="AA58" s="433">
        <v>0</v>
      </c>
      <c r="AB58" s="433">
        <v>39999.999999999949</v>
      </c>
      <c r="AC58" s="433">
        <v>0</v>
      </c>
      <c r="AD58" s="433">
        <v>1569.8437500000002</v>
      </c>
      <c r="AE58" s="433">
        <v>0</v>
      </c>
      <c r="AF58" s="433">
        <v>152700</v>
      </c>
      <c r="AG58" s="433">
        <v>0</v>
      </c>
      <c r="AH58" s="433">
        <v>0</v>
      </c>
      <c r="AI58" s="433">
        <v>0</v>
      </c>
      <c r="AJ58" s="433">
        <v>14086.8</v>
      </c>
      <c r="AK58" s="433">
        <v>0</v>
      </c>
      <c r="AL58" s="433">
        <v>0</v>
      </c>
      <c r="AM58" s="433">
        <v>0</v>
      </c>
      <c r="AN58" s="433">
        <v>0</v>
      </c>
      <c r="AO58" s="433">
        <v>0</v>
      </c>
      <c r="AP58" s="433">
        <v>0</v>
      </c>
      <c r="AQ58" s="433">
        <v>0</v>
      </c>
      <c r="AR58" s="433">
        <v>0</v>
      </c>
      <c r="AS58" s="433">
        <v>431800.00000000006</v>
      </c>
      <c r="AT58" s="433">
        <v>106123.68267709334</v>
      </c>
      <c r="AU58" s="433">
        <v>166786.79999999999</v>
      </c>
      <c r="AV58" s="433">
        <v>90659.86043333885</v>
      </c>
      <c r="AW58" s="433">
        <v>704710.48267709347</v>
      </c>
      <c r="AX58" s="434">
        <v>690623.68267709343</v>
      </c>
      <c r="AY58" s="434">
        <v>5115</v>
      </c>
      <c r="AZ58" s="434">
        <v>543468.75000000012</v>
      </c>
      <c r="BA58" s="434">
        <v>0</v>
      </c>
      <c r="BB58" s="434">
        <v>0</v>
      </c>
      <c r="BC58" s="434">
        <v>704710.48267709347</v>
      </c>
      <c r="BD58" s="434">
        <v>704710.48267709324</v>
      </c>
      <c r="BE58" s="433">
        <v>0</v>
      </c>
      <c r="BF58" s="433">
        <v>557555.55000000016</v>
      </c>
      <c r="BG58" s="434">
        <v>390768.75000000017</v>
      </c>
      <c r="BH58" s="434">
        <v>537923.68267709343</v>
      </c>
      <c r="BI58" s="433">
        <v>5062.8111310785252</v>
      </c>
      <c r="BJ58" s="433">
        <v>4886.3409221505372</v>
      </c>
      <c r="BK58" s="433">
        <v>3.6115001335257108E-2</v>
      </c>
      <c r="BL58" s="435">
        <v>0</v>
      </c>
      <c r="BM58" s="433">
        <v>0</v>
      </c>
      <c r="BN58" s="433">
        <v>704710.48267709347</v>
      </c>
      <c r="BO58" s="434">
        <v>6499.9876016667604</v>
      </c>
      <c r="BP58" s="434" t="s">
        <v>768</v>
      </c>
      <c r="BQ58" s="434">
        <v>6632.5692487255847</v>
      </c>
      <c r="BR58" s="434">
        <v>5.9007786521040329E-2</v>
      </c>
      <c r="BS58" s="659">
        <v>0</v>
      </c>
      <c r="BT58" s="433">
        <v>704710.48267709347</v>
      </c>
      <c r="BU58" s="433">
        <v>0</v>
      </c>
      <c r="BV58" s="433">
        <v>704710.48267709347</v>
      </c>
      <c r="BW58" s="433">
        <v>14086.8</v>
      </c>
      <c r="BX58" s="665">
        <v>690623.68267709343</v>
      </c>
      <c r="BY58" s="670"/>
      <c r="BZ58" s="380">
        <v>690623.68267709343</v>
      </c>
      <c r="CA58" s="380">
        <f t="shared" si="1"/>
        <v>0</v>
      </c>
    </row>
    <row r="59" spans="1:79" ht="14.5" x14ac:dyDescent="0.35">
      <c r="A59" s="430">
        <v>150481</v>
      </c>
      <c r="B59" s="430">
        <v>8312029</v>
      </c>
      <c r="C59" s="431" t="s">
        <v>97</v>
      </c>
      <c r="D59" s="430">
        <v>192</v>
      </c>
      <c r="E59" s="432">
        <v>192</v>
      </c>
      <c r="F59" s="432">
        <v>0</v>
      </c>
      <c r="G59" s="432">
        <v>780288</v>
      </c>
      <c r="H59" s="433">
        <v>0</v>
      </c>
      <c r="I59" s="433">
        <v>0</v>
      </c>
      <c r="J59" s="433">
        <v>28279.999999999935</v>
      </c>
      <c r="K59" s="433">
        <v>0</v>
      </c>
      <c r="L59" s="433">
        <v>68970</v>
      </c>
      <c r="M59" s="433">
        <v>0</v>
      </c>
      <c r="N59" s="433">
        <v>0</v>
      </c>
      <c r="O59" s="433">
        <v>6669.9999999999627</v>
      </c>
      <c r="P59" s="433">
        <v>15015</v>
      </c>
      <c r="Q59" s="433">
        <v>9499.9999999999964</v>
      </c>
      <c r="R59" s="433">
        <v>19609.999999999967</v>
      </c>
      <c r="S59" s="433">
        <v>699.99999999999955</v>
      </c>
      <c r="T59" s="433">
        <v>0</v>
      </c>
      <c r="U59" s="433">
        <v>0</v>
      </c>
      <c r="V59" s="433">
        <v>0</v>
      </c>
      <c r="W59" s="433">
        <v>0</v>
      </c>
      <c r="X59" s="433">
        <v>0</v>
      </c>
      <c r="Y59" s="433">
        <v>0</v>
      </c>
      <c r="Z59" s="433">
        <v>55737.831325301173</v>
      </c>
      <c r="AA59" s="433">
        <v>0</v>
      </c>
      <c r="AB59" s="433">
        <v>92067.120181405888</v>
      </c>
      <c r="AC59" s="433">
        <v>0</v>
      </c>
      <c r="AD59" s="433">
        <v>15387.040837696217</v>
      </c>
      <c r="AE59" s="433">
        <v>0</v>
      </c>
      <c r="AF59" s="433">
        <v>152700</v>
      </c>
      <c r="AG59" s="433">
        <v>0</v>
      </c>
      <c r="AH59" s="433">
        <v>0</v>
      </c>
      <c r="AI59" s="433">
        <v>0</v>
      </c>
      <c r="AJ59" s="433">
        <v>7424.74</v>
      </c>
      <c r="AK59" s="433">
        <v>0</v>
      </c>
      <c r="AL59" s="433">
        <v>0</v>
      </c>
      <c r="AM59" s="433">
        <v>0</v>
      </c>
      <c r="AN59" s="433">
        <v>0</v>
      </c>
      <c r="AO59" s="433">
        <v>0</v>
      </c>
      <c r="AP59" s="433">
        <v>0</v>
      </c>
      <c r="AQ59" s="433">
        <v>0</v>
      </c>
      <c r="AR59" s="433">
        <v>0</v>
      </c>
      <c r="AS59" s="433">
        <v>780288</v>
      </c>
      <c r="AT59" s="433">
        <v>311936.99234440312</v>
      </c>
      <c r="AU59" s="433">
        <v>160124.74</v>
      </c>
      <c r="AV59" s="433">
        <v>216230.87464742488</v>
      </c>
      <c r="AW59" s="433">
        <v>1252349.7323444032</v>
      </c>
      <c r="AX59" s="434">
        <v>1244924.9923444032</v>
      </c>
      <c r="AY59" s="434">
        <v>5115</v>
      </c>
      <c r="AZ59" s="434">
        <v>982080</v>
      </c>
      <c r="BA59" s="434">
        <v>0</v>
      </c>
      <c r="BB59" s="434">
        <v>0</v>
      </c>
      <c r="BC59" s="434">
        <v>1252349.7323444032</v>
      </c>
      <c r="BD59" s="434">
        <v>1252349.7323444032</v>
      </c>
      <c r="BE59" s="433">
        <v>0</v>
      </c>
      <c r="BF59" s="433">
        <v>989504.74</v>
      </c>
      <c r="BG59" s="434">
        <v>829380</v>
      </c>
      <c r="BH59" s="434">
        <v>1092224.9923444032</v>
      </c>
      <c r="BI59" s="433">
        <v>5688.6718351271002</v>
      </c>
      <c r="BJ59" s="433">
        <v>5519.9529283653847</v>
      </c>
      <c r="BK59" s="433">
        <v>3.0565279985399801E-2</v>
      </c>
      <c r="BL59" s="435">
        <v>-5.8230681501886669E-3</v>
      </c>
      <c r="BM59" s="433">
        <v>-6171.4679208393854</v>
      </c>
      <c r="BN59" s="433">
        <v>1246178.2644235638</v>
      </c>
      <c r="BO59" s="434">
        <v>6451.8412730393948</v>
      </c>
      <c r="BP59" s="434" t="s">
        <v>768</v>
      </c>
      <c r="BQ59" s="434">
        <v>6490.511793872728</v>
      </c>
      <c r="BR59" s="434">
        <v>3.3412435337568658E-2</v>
      </c>
      <c r="BS59" s="659">
        <v>0</v>
      </c>
      <c r="BT59" s="433">
        <v>1246178.2644235638</v>
      </c>
      <c r="BU59" s="433">
        <v>0</v>
      </c>
      <c r="BV59" s="433">
        <v>1246178.2644235638</v>
      </c>
      <c r="BW59" s="433">
        <v>7424.74</v>
      </c>
      <c r="BX59" s="665">
        <v>1238753.5244235639</v>
      </c>
      <c r="BY59" s="670"/>
      <c r="BZ59" s="380">
        <v>1238753.5244235639</v>
      </c>
      <c r="CA59" s="380">
        <f t="shared" si="1"/>
        <v>0</v>
      </c>
    </row>
    <row r="60" spans="1:79" ht="14.5" x14ac:dyDescent="0.35">
      <c r="A60" s="430">
        <v>146879</v>
      </c>
      <c r="B60" s="430">
        <v>8312440</v>
      </c>
      <c r="C60" s="431" t="s">
        <v>110</v>
      </c>
      <c r="D60" s="430">
        <v>292</v>
      </c>
      <c r="E60" s="432">
        <v>292</v>
      </c>
      <c r="F60" s="432">
        <v>0</v>
      </c>
      <c r="G60" s="432">
        <v>1186688</v>
      </c>
      <c r="H60" s="433">
        <v>0</v>
      </c>
      <c r="I60" s="433">
        <v>0</v>
      </c>
      <c r="J60" s="433">
        <v>28279.999999999964</v>
      </c>
      <c r="K60" s="433">
        <v>0</v>
      </c>
      <c r="L60" s="433">
        <v>67759.999999999913</v>
      </c>
      <c r="M60" s="433">
        <v>0</v>
      </c>
      <c r="N60" s="433">
        <v>5760</v>
      </c>
      <c r="O60" s="433">
        <v>3769.9999999999932</v>
      </c>
      <c r="P60" s="433">
        <v>2274.99999999999</v>
      </c>
      <c r="Q60" s="433">
        <v>1499.9999999999961</v>
      </c>
      <c r="R60" s="433">
        <v>1589.9999999999959</v>
      </c>
      <c r="S60" s="433">
        <v>699.99999999999886</v>
      </c>
      <c r="T60" s="433">
        <v>0</v>
      </c>
      <c r="U60" s="433">
        <v>0</v>
      </c>
      <c r="V60" s="433">
        <v>0</v>
      </c>
      <c r="W60" s="433">
        <v>0</v>
      </c>
      <c r="X60" s="433">
        <v>0</v>
      </c>
      <c r="Y60" s="433">
        <v>0</v>
      </c>
      <c r="Z60" s="433">
        <v>5489.9999999999864</v>
      </c>
      <c r="AA60" s="433">
        <v>0</v>
      </c>
      <c r="AB60" s="433">
        <v>94975.222630083474</v>
      </c>
      <c r="AC60" s="433">
        <v>0</v>
      </c>
      <c r="AD60" s="433">
        <v>0</v>
      </c>
      <c r="AE60" s="433">
        <v>0</v>
      </c>
      <c r="AF60" s="433">
        <v>152700</v>
      </c>
      <c r="AG60" s="433">
        <v>0</v>
      </c>
      <c r="AH60" s="433">
        <v>0</v>
      </c>
      <c r="AI60" s="433">
        <v>0</v>
      </c>
      <c r="AJ60" s="433">
        <v>8572.2000000000007</v>
      </c>
      <c r="AK60" s="433">
        <v>0</v>
      </c>
      <c r="AL60" s="433">
        <v>0</v>
      </c>
      <c r="AM60" s="433">
        <v>0</v>
      </c>
      <c r="AN60" s="433">
        <v>0</v>
      </c>
      <c r="AO60" s="433">
        <v>0</v>
      </c>
      <c r="AP60" s="433">
        <v>0</v>
      </c>
      <c r="AQ60" s="433">
        <v>0</v>
      </c>
      <c r="AR60" s="433">
        <v>0</v>
      </c>
      <c r="AS60" s="433">
        <v>1186688</v>
      </c>
      <c r="AT60" s="433">
        <v>212100.22263008333</v>
      </c>
      <c r="AU60" s="433">
        <v>161272.20000000001</v>
      </c>
      <c r="AV60" s="433">
        <v>217431.40847710436</v>
      </c>
      <c r="AW60" s="433">
        <v>1560060.4226300833</v>
      </c>
      <c r="AX60" s="434">
        <v>1551488.2226300833</v>
      </c>
      <c r="AY60" s="434">
        <v>5115</v>
      </c>
      <c r="AZ60" s="434">
        <v>1493580</v>
      </c>
      <c r="BA60" s="434">
        <v>0</v>
      </c>
      <c r="BB60" s="434">
        <v>0</v>
      </c>
      <c r="BC60" s="434">
        <v>1560060.4226300833</v>
      </c>
      <c r="BD60" s="434">
        <v>1560060.4226300835</v>
      </c>
      <c r="BE60" s="433">
        <v>0</v>
      </c>
      <c r="BF60" s="433">
        <v>1502152.2</v>
      </c>
      <c r="BG60" s="434">
        <v>1340880</v>
      </c>
      <c r="BH60" s="434">
        <v>1398788.2226300833</v>
      </c>
      <c r="BI60" s="433">
        <v>4790.370625445491</v>
      </c>
      <c r="BJ60" s="433">
        <v>4687.1133462732923</v>
      </c>
      <c r="BK60" s="433">
        <v>2.2030036729173225E-2</v>
      </c>
      <c r="BL60" s="435">
        <v>-8.7384682004407419E-5</v>
      </c>
      <c r="BM60" s="433">
        <v>-119.59791751055003</v>
      </c>
      <c r="BN60" s="433">
        <v>1559940.8247125726</v>
      </c>
      <c r="BO60" s="434">
        <v>5312.9062490156603</v>
      </c>
      <c r="BP60" s="434" t="s">
        <v>768</v>
      </c>
      <c r="BQ60" s="434">
        <v>5342.2630983307281</v>
      </c>
      <c r="BR60" s="434">
        <v>3.0072195250251621E-2</v>
      </c>
      <c r="BS60" s="659">
        <v>0</v>
      </c>
      <c r="BT60" s="433">
        <v>1559940.8247125726</v>
      </c>
      <c r="BU60" s="433">
        <v>0</v>
      </c>
      <c r="BV60" s="433">
        <v>1559940.8247125726</v>
      </c>
      <c r="BW60" s="433">
        <v>8572.2000000000007</v>
      </c>
      <c r="BX60" s="665">
        <v>1551368.6247125727</v>
      </c>
      <c r="BY60" s="670"/>
      <c r="BZ60" s="380">
        <v>1551368.6247125727</v>
      </c>
      <c r="CA60" s="380">
        <f t="shared" si="1"/>
        <v>0</v>
      </c>
    </row>
    <row r="61" spans="1:79" ht="14.5" x14ac:dyDescent="0.35">
      <c r="A61" s="430">
        <v>145759</v>
      </c>
      <c r="B61" s="430">
        <v>8312442</v>
      </c>
      <c r="C61" s="431" t="s">
        <v>111</v>
      </c>
      <c r="D61" s="430">
        <v>331</v>
      </c>
      <c r="E61" s="432">
        <v>331</v>
      </c>
      <c r="F61" s="432">
        <v>0</v>
      </c>
      <c r="G61" s="432">
        <v>1345184</v>
      </c>
      <c r="H61" s="433">
        <v>0</v>
      </c>
      <c r="I61" s="433">
        <v>0</v>
      </c>
      <c r="J61" s="433">
        <v>74234.999999999971</v>
      </c>
      <c r="K61" s="433">
        <v>0</v>
      </c>
      <c r="L61" s="433">
        <v>185129.99999999968</v>
      </c>
      <c r="M61" s="433">
        <v>0</v>
      </c>
      <c r="N61" s="433">
        <v>9869.8181818181638</v>
      </c>
      <c r="O61" s="433">
        <v>18616.242424242333</v>
      </c>
      <c r="P61" s="433">
        <v>456.37878787878782</v>
      </c>
      <c r="Q61" s="433">
        <v>23571.212121212055</v>
      </c>
      <c r="R61" s="433">
        <v>10632.121212121212</v>
      </c>
      <c r="S61" s="433">
        <v>23872.121212121205</v>
      </c>
      <c r="T61" s="433">
        <v>0</v>
      </c>
      <c r="U61" s="433">
        <v>0</v>
      </c>
      <c r="V61" s="433">
        <v>0</v>
      </c>
      <c r="W61" s="433">
        <v>0</v>
      </c>
      <c r="X61" s="433">
        <v>0</v>
      </c>
      <c r="Y61" s="433">
        <v>0</v>
      </c>
      <c r="Z61" s="433">
        <v>8539.9999999999854</v>
      </c>
      <c r="AA61" s="433">
        <v>0</v>
      </c>
      <c r="AB61" s="433">
        <v>107978.91094567016</v>
      </c>
      <c r="AC61" s="433">
        <v>0</v>
      </c>
      <c r="AD61" s="433">
        <v>0</v>
      </c>
      <c r="AE61" s="433">
        <v>0</v>
      </c>
      <c r="AF61" s="433">
        <v>152700</v>
      </c>
      <c r="AG61" s="433">
        <v>0</v>
      </c>
      <c r="AH61" s="433">
        <v>0</v>
      </c>
      <c r="AI61" s="433">
        <v>0</v>
      </c>
      <c r="AJ61" s="433">
        <v>6715.8</v>
      </c>
      <c r="AK61" s="433">
        <v>0</v>
      </c>
      <c r="AL61" s="433">
        <v>0</v>
      </c>
      <c r="AM61" s="433">
        <v>0</v>
      </c>
      <c r="AN61" s="433">
        <v>0</v>
      </c>
      <c r="AO61" s="433">
        <v>0</v>
      </c>
      <c r="AP61" s="433">
        <v>0</v>
      </c>
      <c r="AQ61" s="433">
        <v>0</v>
      </c>
      <c r="AR61" s="433">
        <v>0</v>
      </c>
      <c r="AS61" s="433">
        <v>1345184</v>
      </c>
      <c r="AT61" s="433">
        <v>462901.80488506355</v>
      </c>
      <c r="AU61" s="433">
        <v>159415.79999999999</v>
      </c>
      <c r="AV61" s="433">
        <v>325004.88622198493</v>
      </c>
      <c r="AW61" s="433">
        <v>1967501.6048850636</v>
      </c>
      <c r="AX61" s="434">
        <v>1960785.8048850636</v>
      </c>
      <c r="AY61" s="434">
        <v>5115</v>
      </c>
      <c r="AZ61" s="434">
        <v>1693065</v>
      </c>
      <c r="BA61" s="434">
        <v>0</v>
      </c>
      <c r="BB61" s="434">
        <v>0</v>
      </c>
      <c r="BC61" s="434">
        <v>1967501.6048850636</v>
      </c>
      <c r="BD61" s="434">
        <v>1967501.6048850638</v>
      </c>
      <c r="BE61" s="433">
        <v>0</v>
      </c>
      <c r="BF61" s="433">
        <v>1699780.8</v>
      </c>
      <c r="BG61" s="434">
        <v>1540365</v>
      </c>
      <c r="BH61" s="434">
        <v>1808085.8048850636</v>
      </c>
      <c r="BI61" s="433">
        <v>5462.4948788068386</v>
      </c>
      <c r="BJ61" s="433">
        <v>5114.2686715133532</v>
      </c>
      <c r="BK61" s="433">
        <v>6.8089150113117253E-2</v>
      </c>
      <c r="BL61" s="435">
        <v>-3.1039108876014795E-2</v>
      </c>
      <c r="BM61" s="433">
        <v>-52543.715240493482</v>
      </c>
      <c r="BN61" s="433">
        <v>1914957.8896445702</v>
      </c>
      <c r="BO61" s="434">
        <v>5765.0818418264962</v>
      </c>
      <c r="BP61" s="434" t="s">
        <v>768</v>
      </c>
      <c r="BQ61" s="434">
        <v>5785.3712678083693</v>
      </c>
      <c r="BR61" s="434">
        <v>3.6071250946561495E-2</v>
      </c>
      <c r="BS61" s="659">
        <v>0</v>
      </c>
      <c r="BT61" s="433">
        <v>1914957.8896445702</v>
      </c>
      <c r="BU61" s="433">
        <v>0</v>
      </c>
      <c r="BV61" s="433">
        <v>1914957.8896445702</v>
      </c>
      <c r="BW61" s="433">
        <v>6715.8</v>
      </c>
      <c r="BX61" s="665">
        <v>1908242.0896445701</v>
      </c>
      <c r="BY61" s="670"/>
      <c r="BZ61" s="380">
        <v>1908242.0896445701</v>
      </c>
      <c r="CA61" s="380">
        <f t="shared" si="1"/>
        <v>0</v>
      </c>
    </row>
    <row r="62" spans="1:79" ht="14.5" x14ac:dyDescent="0.35">
      <c r="A62" s="430">
        <v>146921</v>
      </c>
      <c r="B62" s="430">
        <v>8312451</v>
      </c>
      <c r="C62" s="431" t="s">
        <v>112</v>
      </c>
      <c r="D62" s="430">
        <v>558</v>
      </c>
      <c r="E62" s="432">
        <v>558</v>
      </c>
      <c r="F62" s="432">
        <v>0</v>
      </c>
      <c r="G62" s="432">
        <v>2267712</v>
      </c>
      <c r="H62" s="433">
        <v>0</v>
      </c>
      <c r="I62" s="433">
        <v>0</v>
      </c>
      <c r="J62" s="433">
        <v>106049.99999999988</v>
      </c>
      <c r="K62" s="433">
        <v>0</v>
      </c>
      <c r="L62" s="433">
        <v>257729.99999999939</v>
      </c>
      <c r="M62" s="433">
        <v>0</v>
      </c>
      <c r="N62" s="433">
        <v>12240</v>
      </c>
      <c r="O62" s="433">
        <v>38859.999999999956</v>
      </c>
      <c r="P62" s="433">
        <v>19564.999999999982</v>
      </c>
      <c r="Q62" s="433">
        <v>24999.999999999975</v>
      </c>
      <c r="R62" s="433">
        <v>6359.9999999999936</v>
      </c>
      <c r="S62" s="433">
        <v>7699.9999999999927</v>
      </c>
      <c r="T62" s="433">
        <v>0</v>
      </c>
      <c r="U62" s="433">
        <v>0</v>
      </c>
      <c r="V62" s="433">
        <v>0</v>
      </c>
      <c r="W62" s="433">
        <v>0</v>
      </c>
      <c r="X62" s="433">
        <v>0</v>
      </c>
      <c r="Y62" s="433">
        <v>0</v>
      </c>
      <c r="Z62" s="433">
        <v>20227.499999999993</v>
      </c>
      <c r="AA62" s="433">
        <v>0</v>
      </c>
      <c r="AB62" s="433">
        <v>109724.31860354822</v>
      </c>
      <c r="AC62" s="433">
        <v>0</v>
      </c>
      <c r="AD62" s="433">
        <v>0</v>
      </c>
      <c r="AE62" s="433">
        <v>0</v>
      </c>
      <c r="AF62" s="433">
        <v>152700</v>
      </c>
      <c r="AG62" s="433">
        <v>0</v>
      </c>
      <c r="AH62" s="433">
        <v>0</v>
      </c>
      <c r="AI62" s="433">
        <v>0</v>
      </c>
      <c r="AJ62" s="433">
        <v>9081.7999999999993</v>
      </c>
      <c r="AK62" s="433">
        <v>0</v>
      </c>
      <c r="AL62" s="433">
        <v>0</v>
      </c>
      <c r="AM62" s="433">
        <v>0</v>
      </c>
      <c r="AN62" s="433">
        <v>0</v>
      </c>
      <c r="AO62" s="433">
        <v>0</v>
      </c>
      <c r="AP62" s="433">
        <v>0</v>
      </c>
      <c r="AQ62" s="433">
        <v>0</v>
      </c>
      <c r="AR62" s="433">
        <v>0</v>
      </c>
      <c r="AS62" s="433">
        <v>2267712</v>
      </c>
      <c r="AT62" s="433">
        <v>603456.81860354752</v>
      </c>
      <c r="AU62" s="433">
        <v>161781.79999999999</v>
      </c>
      <c r="AV62" s="433">
        <v>485814.88855775044</v>
      </c>
      <c r="AW62" s="433">
        <v>3032950.6186035471</v>
      </c>
      <c r="AX62" s="434">
        <v>3023868.8186035473</v>
      </c>
      <c r="AY62" s="434">
        <v>5115</v>
      </c>
      <c r="AZ62" s="434">
        <v>2854170</v>
      </c>
      <c r="BA62" s="434">
        <v>0</v>
      </c>
      <c r="BB62" s="434">
        <v>0</v>
      </c>
      <c r="BC62" s="434">
        <v>3032950.6186035471</v>
      </c>
      <c r="BD62" s="434">
        <v>3032950.6186035476</v>
      </c>
      <c r="BE62" s="433">
        <v>0</v>
      </c>
      <c r="BF62" s="433">
        <v>2863251.8</v>
      </c>
      <c r="BG62" s="434">
        <v>2701470</v>
      </c>
      <c r="BH62" s="434">
        <v>2871168.8186035473</v>
      </c>
      <c r="BI62" s="433">
        <v>5145.4638326228442</v>
      </c>
      <c r="BJ62" s="433">
        <v>5042.7366347826082</v>
      </c>
      <c r="BK62" s="433">
        <v>2.0371319241950556E-2</v>
      </c>
      <c r="BL62" s="435">
        <v>0</v>
      </c>
      <c r="BM62" s="433">
        <v>0</v>
      </c>
      <c r="BN62" s="433">
        <v>3032950.6186035471</v>
      </c>
      <c r="BO62" s="434">
        <v>5419.1197466013391</v>
      </c>
      <c r="BP62" s="434" t="s">
        <v>768</v>
      </c>
      <c r="BQ62" s="434">
        <v>5435.3953738414821</v>
      </c>
      <c r="BR62" s="434">
        <v>2.1079825749470205E-2</v>
      </c>
      <c r="BS62" s="659">
        <v>0</v>
      </c>
      <c r="BT62" s="433">
        <v>3032950.6186035471</v>
      </c>
      <c r="BU62" s="433">
        <v>0</v>
      </c>
      <c r="BV62" s="433">
        <v>3032950.6186035471</v>
      </c>
      <c r="BW62" s="433">
        <v>9081.7999999999993</v>
      </c>
      <c r="BX62" s="665">
        <v>3023868.8186035473</v>
      </c>
      <c r="BY62" s="670"/>
      <c r="BZ62" s="380">
        <v>3023868.8186035473</v>
      </c>
      <c r="CA62" s="380">
        <f t="shared" si="1"/>
        <v>0</v>
      </c>
    </row>
    <row r="63" spans="1:79" ht="14.5" x14ac:dyDescent="0.35">
      <c r="A63" s="430">
        <v>146507</v>
      </c>
      <c r="B63" s="430">
        <v>8312455</v>
      </c>
      <c r="C63" s="431" t="s">
        <v>113</v>
      </c>
      <c r="D63" s="430">
        <v>211</v>
      </c>
      <c r="E63" s="432">
        <v>211</v>
      </c>
      <c r="F63" s="432">
        <v>0</v>
      </c>
      <c r="G63" s="432">
        <v>857504</v>
      </c>
      <c r="H63" s="433">
        <v>0</v>
      </c>
      <c r="I63" s="433">
        <v>0</v>
      </c>
      <c r="J63" s="433">
        <v>24744.999999999916</v>
      </c>
      <c r="K63" s="433">
        <v>0</v>
      </c>
      <c r="L63" s="433">
        <v>59289.999999999804</v>
      </c>
      <c r="M63" s="433">
        <v>0</v>
      </c>
      <c r="N63" s="433">
        <v>8198.8571428570976</v>
      </c>
      <c r="O63" s="433">
        <v>582.76190476190447</v>
      </c>
      <c r="P63" s="433">
        <v>0</v>
      </c>
      <c r="Q63" s="433">
        <v>1507.1428571428482</v>
      </c>
      <c r="R63" s="433">
        <v>1597.5714285714191</v>
      </c>
      <c r="S63" s="433">
        <v>3516.6666666666652</v>
      </c>
      <c r="T63" s="433">
        <v>0</v>
      </c>
      <c r="U63" s="433">
        <v>0</v>
      </c>
      <c r="V63" s="433">
        <v>0</v>
      </c>
      <c r="W63" s="433">
        <v>0</v>
      </c>
      <c r="X63" s="433">
        <v>0</v>
      </c>
      <c r="Y63" s="433">
        <v>0</v>
      </c>
      <c r="Z63" s="433">
        <v>14986.780821917735</v>
      </c>
      <c r="AA63" s="433">
        <v>0</v>
      </c>
      <c r="AB63" s="433">
        <v>98466.666666666701</v>
      </c>
      <c r="AC63" s="433">
        <v>0</v>
      </c>
      <c r="AD63" s="433">
        <v>0</v>
      </c>
      <c r="AE63" s="433">
        <v>0</v>
      </c>
      <c r="AF63" s="433">
        <v>152700</v>
      </c>
      <c r="AG63" s="433">
        <v>0</v>
      </c>
      <c r="AH63" s="433">
        <v>0</v>
      </c>
      <c r="AI63" s="433">
        <v>0</v>
      </c>
      <c r="AJ63" s="433">
        <v>6497.4</v>
      </c>
      <c r="AK63" s="433">
        <v>0</v>
      </c>
      <c r="AL63" s="433">
        <v>0</v>
      </c>
      <c r="AM63" s="433">
        <v>0</v>
      </c>
      <c r="AN63" s="433">
        <v>0</v>
      </c>
      <c r="AO63" s="433">
        <v>0</v>
      </c>
      <c r="AP63" s="433">
        <v>0</v>
      </c>
      <c r="AQ63" s="433">
        <v>0</v>
      </c>
      <c r="AR63" s="433">
        <v>0</v>
      </c>
      <c r="AS63" s="433">
        <v>857504</v>
      </c>
      <c r="AT63" s="433">
        <v>212891.44748858412</v>
      </c>
      <c r="AU63" s="433">
        <v>159197.4</v>
      </c>
      <c r="AV63" s="433">
        <v>178664.0807191779</v>
      </c>
      <c r="AW63" s="433">
        <v>1229592.847488584</v>
      </c>
      <c r="AX63" s="434">
        <v>1223095.4474885841</v>
      </c>
      <c r="AY63" s="434">
        <v>5115</v>
      </c>
      <c r="AZ63" s="434">
        <v>1079265</v>
      </c>
      <c r="BA63" s="434">
        <v>0</v>
      </c>
      <c r="BB63" s="434">
        <v>0</v>
      </c>
      <c r="BC63" s="434">
        <v>1229592.847488584</v>
      </c>
      <c r="BD63" s="434">
        <v>1229592.8474885838</v>
      </c>
      <c r="BE63" s="433">
        <v>0</v>
      </c>
      <c r="BF63" s="433">
        <v>1085762.3999999999</v>
      </c>
      <c r="BG63" s="434">
        <v>926564.99999999988</v>
      </c>
      <c r="BH63" s="434">
        <v>1070395.4474885841</v>
      </c>
      <c r="BI63" s="433">
        <v>5072.9642061070335</v>
      </c>
      <c r="BJ63" s="433">
        <v>4913.6141777777784</v>
      </c>
      <c r="BK63" s="433">
        <v>3.2430309455294362E-2</v>
      </c>
      <c r="BL63" s="435">
        <v>-7.0763679539578121E-3</v>
      </c>
      <c r="BM63" s="433">
        <v>-7336.5843421110212</v>
      </c>
      <c r="BN63" s="433">
        <v>1222256.2631464729</v>
      </c>
      <c r="BO63" s="434">
        <v>5761.8903466657484</v>
      </c>
      <c r="BP63" s="434" t="s">
        <v>768</v>
      </c>
      <c r="BQ63" s="434">
        <v>5792.6837115946582</v>
      </c>
      <c r="BR63" s="434">
        <v>3.5959913292141321E-2</v>
      </c>
      <c r="BS63" s="659">
        <v>0</v>
      </c>
      <c r="BT63" s="433">
        <v>1222256.2631464729</v>
      </c>
      <c r="BU63" s="433">
        <v>0</v>
      </c>
      <c r="BV63" s="433">
        <v>1222256.2631464729</v>
      </c>
      <c r="BW63" s="433">
        <v>6497.4</v>
      </c>
      <c r="BX63" s="665">
        <v>1215758.863146473</v>
      </c>
      <c r="BY63" s="670"/>
      <c r="BZ63" s="380">
        <v>1215758.863146473</v>
      </c>
      <c r="CA63" s="380">
        <f t="shared" si="1"/>
        <v>0</v>
      </c>
    </row>
    <row r="64" spans="1:79" ht="14.5" x14ac:dyDescent="0.35">
      <c r="A64" s="430">
        <v>147125</v>
      </c>
      <c r="B64" s="430">
        <v>8312456</v>
      </c>
      <c r="C64" s="431" t="s">
        <v>114</v>
      </c>
      <c r="D64" s="430">
        <v>150</v>
      </c>
      <c r="E64" s="432">
        <v>150</v>
      </c>
      <c r="F64" s="432">
        <v>0</v>
      </c>
      <c r="G64" s="432">
        <v>609600</v>
      </c>
      <c r="H64" s="433">
        <v>0</v>
      </c>
      <c r="I64" s="433">
        <v>0</v>
      </c>
      <c r="J64" s="433">
        <v>19695</v>
      </c>
      <c r="K64" s="433">
        <v>0</v>
      </c>
      <c r="L64" s="433">
        <v>47190</v>
      </c>
      <c r="M64" s="433">
        <v>0</v>
      </c>
      <c r="N64" s="433">
        <v>1440</v>
      </c>
      <c r="O64" s="433">
        <v>2319.9999999999986</v>
      </c>
      <c r="P64" s="433">
        <v>2274.9999999999977</v>
      </c>
      <c r="Q64" s="433">
        <v>1999.999999999995</v>
      </c>
      <c r="R64" s="433">
        <v>1059.9999999999973</v>
      </c>
      <c r="S64" s="433">
        <v>0</v>
      </c>
      <c r="T64" s="433">
        <v>0</v>
      </c>
      <c r="U64" s="433">
        <v>0</v>
      </c>
      <c r="V64" s="433">
        <v>0</v>
      </c>
      <c r="W64" s="433">
        <v>0</v>
      </c>
      <c r="X64" s="433">
        <v>0</v>
      </c>
      <c r="Y64" s="433">
        <v>0</v>
      </c>
      <c r="Z64" s="433">
        <v>44442.857142857079</v>
      </c>
      <c r="AA64" s="433">
        <v>0</v>
      </c>
      <c r="AB64" s="433">
        <v>54705.882352941182</v>
      </c>
      <c r="AC64" s="433">
        <v>0</v>
      </c>
      <c r="AD64" s="433">
        <v>0</v>
      </c>
      <c r="AE64" s="433">
        <v>0</v>
      </c>
      <c r="AF64" s="433">
        <v>152700</v>
      </c>
      <c r="AG64" s="433">
        <v>0</v>
      </c>
      <c r="AH64" s="433">
        <v>0</v>
      </c>
      <c r="AI64" s="433">
        <v>0</v>
      </c>
      <c r="AJ64" s="433">
        <v>3692.6</v>
      </c>
      <c r="AK64" s="433">
        <v>0</v>
      </c>
      <c r="AL64" s="433">
        <v>0</v>
      </c>
      <c r="AM64" s="433">
        <v>0</v>
      </c>
      <c r="AN64" s="433">
        <v>0</v>
      </c>
      <c r="AO64" s="433">
        <v>0</v>
      </c>
      <c r="AP64" s="433">
        <v>0</v>
      </c>
      <c r="AQ64" s="433">
        <v>0</v>
      </c>
      <c r="AR64" s="433">
        <v>0</v>
      </c>
      <c r="AS64" s="433">
        <v>609600</v>
      </c>
      <c r="AT64" s="433">
        <v>175128.73949579825</v>
      </c>
      <c r="AU64" s="433">
        <v>156392.6</v>
      </c>
      <c r="AV64" s="433">
        <v>137018.13781512604</v>
      </c>
      <c r="AW64" s="433">
        <v>941121.33949579822</v>
      </c>
      <c r="AX64" s="434">
        <v>937428.73949579825</v>
      </c>
      <c r="AY64" s="434">
        <v>5115</v>
      </c>
      <c r="AZ64" s="434">
        <v>767250</v>
      </c>
      <c r="BA64" s="434">
        <v>0</v>
      </c>
      <c r="BB64" s="434">
        <v>0</v>
      </c>
      <c r="BC64" s="434">
        <v>941121.33949579822</v>
      </c>
      <c r="BD64" s="434">
        <v>941121.33949579822</v>
      </c>
      <c r="BE64" s="433">
        <v>0</v>
      </c>
      <c r="BF64" s="433">
        <v>770942.6</v>
      </c>
      <c r="BG64" s="434">
        <v>614550</v>
      </c>
      <c r="BH64" s="434">
        <v>784728.73949579825</v>
      </c>
      <c r="BI64" s="433">
        <v>5231.5249299719881</v>
      </c>
      <c r="BJ64" s="433">
        <v>4971.438623809524</v>
      </c>
      <c r="BK64" s="433">
        <v>5.2316105224922728E-2</v>
      </c>
      <c r="BL64" s="435">
        <v>-2.0439622711148075E-2</v>
      </c>
      <c r="BM64" s="433">
        <v>-15242.149470344382</v>
      </c>
      <c r="BN64" s="433">
        <v>925879.1900254538</v>
      </c>
      <c r="BO64" s="434">
        <v>6147.9106001696919</v>
      </c>
      <c r="BP64" s="434" t="s">
        <v>768</v>
      </c>
      <c r="BQ64" s="434">
        <v>6172.5279335030255</v>
      </c>
      <c r="BR64" s="434">
        <v>2.3206512355002262E-2</v>
      </c>
      <c r="BS64" s="659">
        <v>0</v>
      </c>
      <c r="BT64" s="433">
        <v>925879.1900254538</v>
      </c>
      <c r="BU64" s="433">
        <v>0</v>
      </c>
      <c r="BV64" s="433">
        <v>925879.1900254538</v>
      </c>
      <c r="BW64" s="433">
        <v>3692.6</v>
      </c>
      <c r="BX64" s="665">
        <v>922186.59002545383</v>
      </c>
      <c r="BY64" s="670"/>
      <c r="BZ64" s="380">
        <v>922186.59002545383</v>
      </c>
      <c r="CA64" s="380">
        <f t="shared" si="1"/>
        <v>0</v>
      </c>
    </row>
    <row r="65" spans="1:79" ht="14.5" x14ac:dyDescent="0.35">
      <c r="A65" s="430">
        <v>147399</v>
      </c>
      <c r="B65" s="430">
        <v>8312463</v>
      </c>
      <c r="C65" s="431" t="s">
        <v>115</v>
      </c>
      <c r="D65" s="430">
        <v>352</v>
      </c>
      <c r="E65" s="432">
        <v>352</v>
      </c>
      <c r="F65" s="432">
        <v>0</v>
      </c>
      <c r="G65" s="432">
        <v>1430528</v>
      </c>
      <c r="H65" s="433">
        <v>0</v>
      </c>
      <c r="I65" s="433">
        <v>0</v>
      </c>
      <c r="J65" s="433">
        <v>65144.999999999869</v>
      </c>
      <c r="K65" s="433">
        <v>0</v>
      </c>
      <c r="L65" s="433">
        <v>165769.99999999983</v>
      </c>
      <c r="M65" s="433">
        <v>0</v>
      </c>
      <c r="N65" s="433">
        <v>8399.9999999999927</v>
      </c>
      <c r="O65" s="433">
        <v>4349.9999999999936</v>
      </c>
      <c r="P65" s="433">
        <v>3639.9999999999955</v>
      </c>
      <c r="Q65" s="433">
        <v>4499.9999999999964</v>
      </c>
      <c r="R65" s="433">
        <v>1589.9999999999995</v>
      </c>
      <c r="S65" s="433">
        <v>3499.9999999999864</v>
      </c>
      <c r="T65" s="433">
        <v>0</v>
      </c>
      <c r="U65" s="433">
        <v>0</v>
      </c>
      <c r="V65" s="433">
        <v>0</v>
      </c>
      <c r="W65" s="433">
        <v>0</v>
      </c>
      <c r="X65" s="433">
        <v>0</v>
      </c>
      <c r="Y65" s="433">
        <v>0</v>
      </c>
      <c r="Z65" s="433">
        <v>20918.280802292262</v>
      </c>
      <c r="AA65" s="433">
        <v>0</v>
      </c>
      <c r="AB65" s="433">
        <v>150275.20332451971</v>
      </c>
      <c r="AC65" s="433">
        <v>0</v>
      </c>
      <c r="AD65" s="433">
        <v>0</v>
      </c>
      <c r="AE65" s="433">
        <v>0</v>
      </c>
      <c r="AF65" s="433">
        <v>152700</v>
      </c>
      <c r="AG65" s="433">
        <v>0</v>
      </c>
      <c r="AH65" s="433">
        <v>0</v>
      </c>
      <c r="AI65" s="433">
        <v>0</v>
      </c>
      <c r="AJ65" s="433">
        <v>4116.75</v>
      </c>
      <c r="AK65" s="433">
        <v>0</v>
      </c>
      <c r="AL65" s="433">
        <v>0</v>
      </c>
      <c r="AM65" s="433">
        <v>0</v>
      </c>
      <c r="AN65" s="433">
        <v>0</v>
      </c>
      <c r="AO65" s="433">
        <v>0</v>
      </c>
      <c r="AP65" s="433">
        <v>0</v>
      </c>
      <c r="AQ65" s="433">
        <v>0</v>
      </c>
      <c r="AR65" s="433">
        <v>0</v>
      </c>
      <c r="AS65" s="433">
        <v>1430528</v>
      </c>
      <c r="AT65" s="433">
        <v>428088.48412681173</v>
      </c>
      <c r="AU65" s="433">
        <v>156816.75</v>
      </c>
      <c r="AV65" s="433">
        <v>323568.62813321111</v>
      </c>
      <c r="AW65" s="433">
        <v>2015433.2341268118</v>
      </c>
      <c r="AX65" s="434">
        <v>2011316.4841268118</v>
      </c>
      <c r="AY65" s="434">
        <v>5115</v>
      </c>
      <c r="AZ65" s="434">
        <v>1800480</v>
      </c>
      <c r="BA65" s="434">
        <v>0</v>
      </c>
      <c r="BB65" s="434">
        <v>0</v>
      </c>
      <c r="BC65" s="434">
        <v>2015433.2341268118</v>
      </c>
      <c r="BD65" s="434">
        <v>2015433.2341268116</v>
      </c>
      <c r="BE65" s="433">
        <v>0</v>
      </c>
      <c r="BF65" s="433">
        <v>1804596.75</v>
      </c>
      <c r="BG65" s="434">
        <v>1647780</v>
      </c>
      <c r="BH65" s="434">
        <v>1858616.4841268118</v>
      </c>
      <c r="BI65" s="433">
        <v>5280.1604662693517</v>
      </c>
      <c r="BJ65" s="433">
        <v>4929.7614444444444</v>
      </c>
      <c r="BK65" s="433">
        <v>7.1078291672670435E-2</v>
      </c>
      <c r="BL65" s="435">
        <v>-3.3047812004034532E-2</v>
      </c>
      <c r="BM65" s="433">
        <v>-57347.07596313968</v>
      </c>
      <c r="BN65" s="433">
        <v>1958086.1581636721</v>
      </c>
      <c r="BO65" s="434">
        <v>5551.0494550104322</v>
      </c>
      <c r="BP65" s="434" t="s">
        <v>768</v>
      </c>
      <c r="BQ65" s="434">
        <v>5562.7447675104322</v>
      </c>
      <c r="BR65" s="434">
        <v>3.4575411660507926E-2</v>
      </c>
      <c r="BS65" s="659">
        <v>0</v>
      </c>
      <c r="BT65" s="433">
        <v>1958086.1581636721</v>
      </c>
      <c r="BU65" s="433">
        <v>0</v>
      </c>
      <c r="BV65" s="433">
        <v>1958086.1581636721</v>
      </c>
      <c r="BW65" s="433">
        <v>4116.75</v>
      </c>
      <c r="BX65" s="665">
        <v>1953969.4081636721</v>
      </c>
      <c r="BY65" s="670"/>
      <c r="BZ65" s="380">
        <v>1953969.4081636721</v>
      </c>
      <c r="CA65" s="380">
        <f t="shared" si="1"/>
        <v>0</v>
      </c>
    </row>
    <row r="66" spans="1:79" ht="14.5" x14ac:dyDescent="0.35">
      <c r="A66" s="430">
        <v>146855</v>
      </c>
      <c r="B66" s="430">
        <v>8312464</v>
      </c>
      <c r="C66" s="431" t="s">
        <v>116</v>
      </c>
      <c r="D66" s="430">
        <v>185</v>
      </c>
      <c r="E66" s="432">
        <v>185</v>
      </c>
      <c r="F66" s="432">
        <v>0</v>
      </c>
      <c r="G66" s="432">
        <v>751840</v>
      </c>
      <c r="H66" s="433">
        <v>0</v>
      </c>
      <c r="I66" s="433">
        <v>0</v>
      </c>
      <c r="J66" s="433">
        <v>25249.999999999975</v>
      </c>
      <c r="K66" s="433">
        <v>0</v>
      </c>
      <c r="L66" s="433">
        <v>60499.999999999942</v>
      </c>
      <c r="M66" s="433">
        <v>0</v>
      </c>
      <c r="N66" s="433">
        <v>11519.999999999978</v>
      </c>
      <c r="O66" s="433">
        <v>18849.999999999978</v>
      </c>
      <c r="P66" s="433">
        <v>909.99999999999898</v>
      </c>
      <c r="Q66" s="433">
        <v>18999.99999999996</v>
      </c>
      <c r="R66" s="433">
        <v>1589.9999999999984</v>
      </c>
      <c r="S66" s="433">
        <v>699.9999999999992</v>
      </c>
      <c r="T66" s="433">
        <v>0</v>
      </c>
      <c r="U66" s="433">
        <v>0</v>
      </c>
      <c r="V66" s="433">
        <v>0</v>
      </c>
      <c r="W66" s="433">
        <v>0</v>
      </c>
      <c r="X66" s="433">
        <v>0</v>
      </c>
      <c r="Y66" s="433">
        <v>0</v>
      </c>
      <c r="Z66" s="433">
        <v>3548.7421383647752</v>
      </c>
      <c r="AA66" s="433">
        <v>0</v>
      </c>
      <c r="AB66" s="433">
        <v>61570.499963970811</v>
      </c>
      <c r="AC66" s="433">
        <v>0</v>
      </c>
      <c r="AD66" s="433">
        <v>0</v>
      </c>
      <c r="AE66" s="433">
        <v>0</v>
      </c>
      <c r="AF66" s="433">
        <v>152700</v>
      </c>
      <c r="AG66" s="433">
        <v>0</v>
      </c>
      <c r="AH66" s="433">
        <v>0</v>
      </c>
      <c r="AI66" s="433">
        <v>0</v>
      </c>
      <c r="AJ66" s="433">
        <v>6169.8</v>
      </c>
      <c r="AK66" s="433">
        <v>0</v>
      </c>
      <c r="AL66" s="433">
        <v>0</v>
      </c>
      <c r="AM66" s="433">
        <v>0</v>
      </c>
      <c r="AN66" s="433">
        <v>0</v>
      </c>
      <c r="AO66" s="433">
        <v>0</v>
      </c>
      <c r="AP66" s="433">
        <v>0</v>
      </c>
      <c r="AQ66" s="433">
        <v>0</v>
      </c>
      <c r="AR66" s="433">
        <v>0</v>
      </c>
      <c r="AS66" s="433">
        <v>751840</v>
      </c>
      <c r="AT66" s="433">
        <v>203439.24210233544</v>
      </c>
      <c r="AU66" s="433">
        <v>158869.79999999999</v>
      </c>
      <c r="AV66" s="433">
        <v>162103.47246371474</v>
      </c>
      <c r="AW66" s="433">
        <v>1114149.0421023355</v>
      </c>
      <c r="AX66" s="434">
        <v>1107979.2421023354</v>
      </c>
      <c r="AY66" s="434">
        <v>5115</v>
      </c>
      <c r="AZ66" s="434">
        <v>946275</v>
      </c>
      <c r="BA66" s="434">
        <v>0</v>
      </c>
      <c r="BB66" s="434">
        <v>0</v>
      </c>
      <c r="BC66" s="434">
        <v>1114149.0421023355</v>
      </c>
      <c r="BD66" s="434">
        <v>1114149.0421023357</v>
      </c>
      <c r="BE66" s="433">
        <v>0</v>
      </c>
      <c r="BF66" s="433">
        <v>952444.8</v>
      </c>
      <c r="BG66" s="434">
        <v>793575</v>
      </c>
      <c r="BH66" s="434">
        <v>955279.24210233544</v>
      </c>
      <c r="BI66" s="433">
        <v>5163.6715789315431</v>
      </c>
      <c r="BJ66" s="433">
        <v>4997.7322346733663</v>
      </c>
      <c r="BK66" s="433">
        <v>3.3202928141471744E-2</v>
      </c>
      <c r="BL66" s="435">
        <v>-7.5955677110690128E-3</v>
      </c>
      <c r="BM66" s="433">
        <v>-7022.7135141969529</v>
      </c>
      <c r="BN66" s="433">
        <v>1107126.3285881386</v>
      </c>
      <c r="BO66" s="434">
        <v>5951.1163707466949</v>
      </c>
      <c r="BP66" s="434" t="s">
        <v>768</v>
      </c>
      <c r="BQ66" s="434">
        <v>5984.4666410169648</v>
      </c>
      <c r="BR66" s="434">
        <v>3.406344700274766E-2</v>
      </c>
      <c r="BS66" s="659">
        <v>0</v>
      </c>
      <c r="BT66" s="433">
        <v>1107126.3285881386</v>
      </c>
      <c r="BU66" s="433">
        <v>0</v>
      </c>
      <c r="BV66" s="433">
        <v>1107126.3285881386</v>
      </c>
      <c r="BW66" s="433">
        <v>6169.8</v>
      </c>
      <c r="BX66" s="665">
        <v>1100956.5285881385</v>
      </c>
      <c r="BY66" s="670"/>
      <c r="BZ66" s="380">
        <v>1100956.5285881385</v>
      </c>
      <c r="CA66" s="380">
        <f t="shared" si="1"/>
        <v>0</v>
      </c>
    </row>
    <row r="67" spans="1:79" ht="14.5" x14ac:dyDescent="0.35">
      <c r="A67" s="430">
        <v>146839</v>
      </c>
      <c r="B67" s="430">
        <v>8312466</v>
      </c>
      <c r="C67" s="431" t="s">
        <v>117</v>
      </c>
      <c r="D67" s="430">
        <v>318</v>
      </c>
      <c r="E67" s="432">
        <v>318</v>
      </c>
      <c r="F67" s="432">
        <v>0</v>
      </c>
      <c r="G67" s="432">
        <v>1292352</v>
      </c>
      <c r="H67" s="433">
        <v>0</v>
      </c>
      <c r="I67" s="433">
        <v>0</v>
      </c>
      <c r="J67" s="433">
        <v>55549.999999999905</v>
      </c>
      <c r="K67" s="433">
        <v>0</v>
      </c>
      <c r="L67" s="433">
        <v>133099.99999999977</v>
      </c>
      <c r="M67" s="433">
        <v>0</v>
      </c>
      <c r="N67" s="433">
        <v>14399.999999999933</v>
      </c>
      <c r="O67" s="433">
        <v>11889.999999999918</v>
      </c>
      <c r="P67" s="433">
        <v>1819.9999999999916</v>
      </c>
      <c r="Q67" s="433">
        <v>19499.999999999956</v>
      </c>
      <c r="R67" s="433">
        <v>1589.9999999999993</v>
      </c>
      <c r="S67" s="433">
        <v>4199.9999999999809</v>
      </c>
      <c r="T67" s="433">
        <v>0</v>
      </c>
      <c r="U67" s="433">
        <v>0</v>
      </c>
      <c r="V67" s="433">
        <v>0</v>
      </c>
      <c r="W67" s="433">
        <v>0</v>
      </c>
      <c r="X67" s="433">
        <v>0</v>
      </c>
      <c r="Y67" s="433">
        <v>0</v>
      </c>
      <c r="Z67" s="433">
        <v>6020.0689655172246</v>
      </c>
      <c r="AA67" s="433">
        <v>0</v>
      </c>
      <c r="AB67" s="433">
        <v>131645.14550181886</v>
      </c>
      <c r="AC67" s="433">
        <v>0</v>
      </c>
      <c r="AD67" s="433">
        <v>0</v>
      </c>
      <c r="AE67" s="433">
        <v>0</v>
      </c>
      <c r="AF67" s="433">
        <v>152700</v>
      </c>
      <c r="AG67" s="433">
        <v>0</v>
      </c>
      <c r="AH67" s="433">
        <v>0</v>
      </c>
      <c r="AI67" s="433">
        <v>0</v>
      </c>
      <c r="AJ67" s="433">
        <v>4266.45</v>
      </c>
      <c r="AK67" s="433">
        <v>0</v>
      </c>
      <c r="AL67" s="433">
        <v>0</v>
      </c>
      <c r="AM67" s="433">
        <v>0</v>
      </c>
      <c r="AN67" s="433">
        <v>0</v>
      </c>
      <c r="AO67" s="433">
        <v>0</v>
      </c>
      <c r="AP67" s="433">
        <v>0</v>
      </c>
      <c r="AQ67" s="433">
        <v>0</v>
      </c>
      <c r="AR67" s="433">
        <v>0</v>
      </c>
      <c r="AS67" s="433">
        <v>1292352</v>
      </c>
      <c r="AT67" s="433">
        <v>379715.21446733549</v>
      </c>
      <c r="AU67" s="433">
        <v>156966.45000000001</v>
      </c>
      <c r="AV67" s="433">
        <v>289220.81641008059</v>
      </c>
      <c r="AW67" s="433">
        <v>1829033.6644673354</v>
      </c>
      <c r="AX67" s="434">
        <v>1824767.2144673355</v>
      </c>
      <c r="AY67" s="434">
        <v>5115</v>
      </c>
      <c r="AZ67" s="434">
        <v>1626570</v>
      </c>
      <c r="BA67" s="434">
        <v>0</v>
      </c>
      <c r="BB67" s="434">
        <v>0</v>
      </c>
      <c r="BC67" s="434">
        <v>1829033.6644673354</v>
      </c>
      <c r="BD67" s="434">
        <v>1829033.6644673359</v>
      </c>
      <c r="BE67" s="433">
        <v>0</v>
      </c>
      <c r="BF67" s="433">
        <v>1630836.45</v>
      </c>
      <c r="BG67" s="434">
        <v>1473870</v>
      </c>
      <c r="BH67" s="434">
        <v>1672067.2144673355</v>
      </c>
      <c r="BI67" s="433">
        <v>5258.0730014696082</v>
      </c>
      <c r="BJ67" s="433">
        <v>5037.7770627272721</v>
      </c>
      <c r="BK67" s="433">
        <v>4.3728798634665229E-2</v>
      </c>
      <c r="BL67" s="435">
        <v>-1.4668952682495035E-2</v>
      </c>
      <c r="BM67" s="433">
        <v>-23499.854447877446</v>
      </c>
      <c r="BN67" s="433">
        <v>1805533.8100194579</v>
      </c>
      <c r="BO67" s="434">
        <v>5664.3627673567862</v>
      </c>
      <c r="BP67" s="434" t="s">
        <v>768</v>
      </c>
      <c r="BQ67" s="434">
        <v>5677.7792767907486</v>
      </c>
      <c r="BR67" s="434">
        <v>2.9967670486876319E-2</v>
      </c>
      <c r="BS67" s="659">
        <v>0</v>
      </c>
      <c r="BT67" s="433">
        <v>1805533.8100194579</v>
      </c>
      <c r="BU67" s="433">
        <v>0</v>
      </c>
      <c r="BV67" s="433">
        <v>1805533.8100194579</v>
      </c>
      <c r="BW67" s="433">
        <v>4266.45</v>
      </c>
      <c r="BX67" s="665">
        <v>1801267.360019458</v>
      </c>
      <c r="BY67" s="670"/>
      <c r="BZ67" s="380">
        <v>1801267.360019458</v>
      </c>
      <c r="CA67" s="380">
        <f t="shared" si="1"/>
        <v>0</v>
      </c>
    </row>
    <row r="68" spans="1:79" ht="14.5" x14ac:dyDescent="0.35">
      <c r="A68" s="430">
        <v>145592</v>
      </c>
      <c r="B68" s="430">
        <v>8312467</v>
      </c>
      <c r="C68" s="431" t="s">
        <v>118</v>
      </c>
      <c r="D68" s="430">
        <v>181</v>
      </c>
      <c r="E68" s="432">
        <v>181</v>
      </c>
      <c r="F68" s="432">
        <v>0</v>
      </c>
      <c r="G68" s="432">
        <v>735584</v>
      </c>
      <c r="H68" s="433">
        <v>0</v>
      </c>
      <c r="I68" s="433">
        <v>0</v>
      </c>
      <c r="J68" s="433">
        <v>30299.999999999967</v>
      </c>
      <c r="K68" s="433">
        <v>0</v>
      </c>
      <c r="L68" s="433">
        <v>72599.999999999927</v>
      </c>
      <c r="M68" s="433">
        <v>0</v>
      </c>
      <c r="N68" s="433">
        <v>3359.9999999999977</v>
      </c>
      <c r="O68" s="433">
        <v>11599.999999999971</v>
      </c>
      <c r="P68" s="433">
        <v>27754.999999999971</v>
      </c>
      <c r="Q68" s="433">
        <v>1999.999999999995</v>
      </c>
      <c r="R68" s="433">
        <v>1059.9999999999925</v>
      </c>
      <c r="S68" s="433">
        <v>1399.9999999999902</v>
      </c>
      <c r="T68" s="433">
        <v>0</v>
      </c>
      <c r="U68" s="433">
        <v>0</v>
      </c>
      <c r="V68" s="433">
        <v>0</v>
      </c>
      <c r="W68" s="433">
        <v>0</v>
      </c>
      <c r="X68" s="433">
        <v>0</v>
      </c>
      <c r="Y68" s="433">
        <v>0</v>
      </c>
      <c r="Z68" s="433">
        <v>4770.8024691357932</v>
      </c>
      <c r="AA68" s="433">
        <v>0</v>
      </c>
      <c r="AB68" s="433">
        <v>55852.908279753537</v>
      </c>
      <c r="AC68" s="433">
        <v>0</v>
      </c>
      <c r="AD68" s="433">
        <v>0</v>
      </c>
      <c r="AE68" s="433">
        <v>0</v>
      </c>
      <c r="AF68" s="433">
        <v>152700</v>
      </c>
      <c r="AG68" s="433">
        <v>0</v>
      </c>
      <c r="AH68" s="433">
        <v>0</v>
      </c>
      <c r="AI68" s="433">
        <v>0</v>
      </c>
      <c r="AJ68" s="433">
        <v>3542.9</v>
      </c>
      <c r="AK68" s="433">
        <v>0</v>
      </c>
      <c r="AL68" s="433">
        <v>0</v>
      </c>
      <c r="AM68" s="433">
        <v>0</v>
      </c>
      <c r="AN68" s="433">
        <v>0</v>
      </c>
      <c r="AO68" s="433">
        <v>0</v>
      </c>
      <c r="AP68" s="433">
        <v>0</v>
      </c>
      <c r="AQ68" s="433">
        <v>0</v>
      </c>
      <c r="AR68" s="433">
        <v>0</v>
      </c>
      <c r="AS68" s="433">
        <v>735584</v>
      </c>
      <c r="AT68" s="433">
        <v>210698.71074888913</v>
      </c>
      <c r="AU68" s="433">
        <v>156242.9</v>
      </c>
      <c r="AV68" s="433">
        <v>162770.37405750193</v>
      </c>
      <c r="AW68" s="433">
        <v>1102525.6107488892</v>
      </c>
      <c r="AX68" s="434">
        <v>1098982.7107488893</v>
      </c>
      <c r="AY68" s="434">
        <v>5115</v>
      </c>
      <c r="AZ68" s="434">
        <v>925815</v>
      </c>
      <c r="BA68" s="434">
        <v>0</v>
      </c>
      <c r="BB68" s="434">
        <v>0</v>
      </c>
      <c r="BC68" s="434">
        <v>1102525.6107488892</v>
      </c>
      <c r="BD68" s="434">
        <v>1102525.6107488892</v>
      </c>
      <c r="BE68" s="433">
        <v>0</v>
      </c>
      <c r="BF68" s="433">
        <v>929357.9</v>
      </c>
      <c r="BG68" s="434">
        <v>773115</v>
      </c>
      <c r="BH68" s="434">
        <v>946282.71074888913</v>
      </c>
      <c r="BI68" s="433">
        <v>5228.081274855741</v>
      </c>
      <c r="BJ68" s="433">
        <v>5170.4152300000005</v>
      </c>
      <c r="BK68" s="433">
        <v>1.1153078097315684E-2</v>
      </c>
      <c r="BL68" s="435">
        <v>0</v>
      </c>
      <c r="BM68" s="433">
        <v>0</v>
      </c>
      <c r="BN68" s="433">
        <v>1102525.6107488892</v>
      </c>
      <c r="BO68" s="434">
        <v>6071.7276836955207</v>
      </c>
      <c r="BP68" s="434" t="s">
        <v>768</v>
      </c>
      <c r="BQ68" s="434">
        <v>6091.3017168446913</v>
      </c>
      <c r="BR68" s="434">
        <v>2.9959102145789229E-2</v>
      </c>
      <c r="BS68" s="659">
        <v>0</v>
      </c>
      <c r="BT68" s="433">
        <v>1102525.6107488892</v>
      </c>
      <c r="BU68" s="433">
        <v>0</v>
      </c>
      <c r="BV68" s="433">
        <v>1102525.6107488892</v>
      </c>
      <c r="BW68" s="433">
        <v>3542.9</v>
      </c>
      <c r="BX68" s="665">
        <v>1098982.7107488893</v>
      </c>
      <c r="BY68" s="670"/>
      <c r="BZ68" s="380">
        <v>1098982.7107488893</v>
      </c>
      <c r="CA68" s="380">
        <f t="shared" si="1"/>
        <v>0</v>
      </c>
    </row>
    <row r="69" spans="1:79" ht="14.5" x14ac:dyDescent="0.35">
      <c r="A69" s="430">
        <v>146938</v>
      </c>
      <c r="B69" s="430">
        <v>8312471</v>
      </c>
      <c r="C69" s="431" t="s">
        <v>119</v>
      </c>
      <c r="D69" s="430">
        <v>341</v>
      </c>
      <c r="E69" s="432">
        <v>341</v>
      </c>
      <c r="F69" s="432">
        <v>0</v>
      </c>
      <c r="G69" s="432">
        <v>1385824</v>
      </c>
      <c r="H69" s="433">
        <v>0</v>
      </c>
      <c r="I69" s="433">
        <v>0</v>
      </c>
      <c r="J69" s="433">
        <v>81809.999999999971</v>
      </c>
      <c r="K69" s="433">
        <v>0</v>
      </c>
      <c r="L69" s="433">
        <v>199649.9999999998</v>
      </c>
      <c r="M69" s="433">
        <v>0</v>
      </c>
      <c r="N69" s="433">
        <v>3119.9999999999982</v>
      </c>
      <c r="O69" s="433">
        <v>22909.99999999996</v>
      </c>
      <c r="P69" s="433">
        <v>0</v>
      </c>
      <c r="Q69" s="433">
        <v>13499.999999999995</v>
      </c>
      <c r="R69" s="433">
        <v>11129.999999999987</v>
      </c>
      <c r="S69" s="433">
        <v>29399.999999999774</v>
      </c>
      <c r="T69" s="433">
        <v>0</v>
      </c>
      <c r="U69" s="433">
        <v>0</v>
      </c>
      <c r="V69" s="433">
        <v>0</v>
      </c>
      <c r="W69" s="433">
        <v>0</v>
      </c>
      <c r="X69" s="433">
        <v>0</v>
      </c>
      <c r="Y69" s="433">
        <v>0</v>
      </c>
      <c r="Z69" s="433">
        <v>4894.352941176453</v>
      </c>
      <c r="AA69" s="433">
        <v>0</v>
      </c>
      <c r="AB69" s="433">
        <v>148725.97061119706</v>
      </c>
      <c r="AC69" s="433">
        <v>0</v>
      </c>
      <c r="AD69" s="433">
        <v>0</v>
      </c>
      <c r="AE69" s="433">
        <v>0</v>
      </c>
      <c r="AF69" s="433">
        <v>152700</v>
      </c>
      <c r="AG69" s="433">
        <v>0</v>
      </c>
      <c r="AH69" s="433">
        <v>0</v>
      </c>
      <c r="AI69" s="433">
        <v>0</v>
      </c>
      <c r="AJ69" s="433">
        <v>5678.4</v>
      </c>
      <c r="AK69" s="433">
        <v>0</v>
      </c>
      <c r="AL69" s="433">
        <v>0</v>
      </c>
      <c r="AM69" s="433">
        <v>0</v>
      </c>
      <c r="AN69" s="433">
        <v>0</v>
      </c>
      <c r="AO69" s="433">
        <v>0</v>
      </c>
      <c r="AP69" s="433">
        <v>0</v>
      </c>
      <c r="AQ69" s="433">
        <v>0</v>
      </c>
      <c r="AR69" s="433">
        <v>0</v>
      </c>
      <c r="AS69" s="433">
        <v>1385824</v>
      </c>
      <c r="AT69" s="433">
        <v>515140.32355237298</v>
      </c>
      <c r="AU69" s="433">
        <v>158378.4</v>
      </c>
      <c r="AV69" s="433">
        <v>348120.77299338795</v>
      </c>
      <c r="AW69" s="433">
        <v>2059342.7235523728</v>
      </c>
      <c r="AX69" s="434">
        <v>2053664.3235523729</v>
      </c>
      <c r="AY69" s="434">
        <v>5115</v>
      </c>
      <c r="AZ69" s="434">
        <v>1744215</v>
      </c>
      <c r="BA69" s="434">
        <v>0</v>
      </c>
      <c r="BB69" s="434">
        <v>0</v>
      </c>
      <c r="BC69" s="434">
        <v>2059342.7235523728</v>
      </c>
      <c r="BD69" s="434">
        <v>2059342.7235523728</v>
      </c>
      <c r="BE69" s="433">
        <v>0</v>
      </c>
      <c r="BF69" s="433">
        <v>1749893.4</v>
      </c>
      <c r="BG69" s="434">
        <v>1591515</v>
      </c>
      <c r="BH69" s="434">
        <v>1900964.3235523729</v>
      </c>
      <c r="BI69" s="433">
        <v>5574.6754356374568</v>
      </c>
      <c r="BJ69" s="433">
        <v>5339.9622947826083</v>
      </c>
      <c r="BK69" s="433">
        <v>4.3954082051136226E-2</v>
      </c>
      <c r="BL69" s="435">
        <v>-1.4820343138363544E-2</v>
      </c>
      <c r="BM69" s="433">
        <v>-26986.765082119102</v>
      </c>
      <c r="BN69" s="433">
        <v>2032355.9584702537</v>
      </c>
      <c r="BO69" s="434">
        <v>5943.3359485931196</v>
      </c>
      <c r="BP69" s="434" t="s">
        <v>768</v>
      </c>
      <c r="BQ69" s="434">
        <v>5959.9881480066088</v>
      </c>
      <c r="BR69" s="434">
        <v>2.8127261424818917E-2</v>
      </c>
      <c r="BS69" s="659">
        <v>0</v>
      </c>
      <c r="BT69" s="433">
        <v>2032355.9584702537</v>
      </c>
      <c r="BU69" s="433">
        <v>0</v>
      </c>
      <c r="BV69" s="433">
        <v>2032355.9584702537</v>
      </c>
      <c r="BW69" s="433">
        <v>5678.4</v>
      </c>
      <c r="BX69" s="665">
        <v>2026677.5584702538</v>
      </c>
      <c r="BY69" s="670"/>
      <c r="BZ69" s="380">
        <v>2026677.5584702538</v>
      </c>
      <c r="CA69" s="380">
        <f t="shared" si="1"/>
        <v>0</v>
      </c>
    </row>
    <row r="70" spans="1:79" ht="14.5" x14ac:dyDescent="0.35">
      <c r="A70" s="430">
        <v>145806</v>
      </c>
      <c r="B70" s="430">
        <v>8312509</v>
      </c>
      <c r="C70" s="431" t="s">
        <v>120</v>
      </c>
      <c r="D70" s="430">
        <v>176</v>
      </c>
      <c r="E70" s="432">
        <v>176</v>
      </c>
      <c r="F70" s="432">
        <v>0</v>
      </c>
      <c r="G70" s="432">
        <v>715264</v>
      </c>
      <c r="H70" s="433">
        <v>0</v>
      </c>
      <c r="I70" s="433">
        <v>0</v>
      </c>
      <c r="J70" s="433">
        <v>41409.99999999992</v>
      </c>
      <c r="K70" s="433">
        <v>0</v>
      </c>
      <c r="L70" s="433">
        <v>101639.99999999994</v>
      </c>
      <c r="M70" s="433">
        <v>0</v>
      </c>
      <c r="N70" s="433">
        <v>1439.9999999999961</v>
      </c>
      <c r="O70" s="433">
        <v>7829.9999999999536</v>
      </c>
      <c r="P70" s="433">
        <v>2274.9999999999991</v>
      </c>
      <c r="Q70" s="433">
        <v>7999.9999999999991</v>
      </c>
      <c r="R70" s="433">
        <v>7419.9999999999964</v>
      </c>
      <c r="S70" s="433">
        <v>1399.999999999992</v>
      </c>
      <c r="T70" s="433">
        <v>0</v>
      </c>
      <c r="U70" s="433">
        <v>0</v>
      </c>
      <c r="V70" s="433">
        <v>0</v>
      </c>
      <c r="W70" s="433">
        <v>0</v>
      </c>
      <c r="X70" s="433">
        <v>0</v>
      </c>
      <c r="Y70" s="433">
        <v>0</v>
      </c>
      <c r="Z70" s="433">
        <v>45239.748427672945</v>
      </c>
      <c r="AA70" s="433">
        <v>0</v>
      </c>
      <c r="AB70" s="433">
        <v>77835.728235857227</v>
      </c>
      <c r="AC70" s="433">
        <v>0</v>
      </c>
      <c r="AD70" s="433">
        <v>26043.399999999874</v>
      </c>
      <c r="AE70" s="433">
        <v>0</v>
      </c>
      <c r="AF70" s="433">
        <v>152700</v>
      </c>
      <c r="AG70" s="433">
        <v>0</v>
      </c>
      <c r="AH70" s="433">
        <v>0</v>
      </c>
      <c r="AI70" s="433">
        <v>0</v>
      </c>
      <c r="AJ70" s="433">
        <v>3567.85</v>
      </c>
      <c r="AK70" s="433">
        <v>0</v>
      </c>
      <c r="AL70" s="433">
        <v>0</v>
      </c>
      <c r="AM70" s="433">
        <v>0</v>
      </c>
      <c r="AN70" s="433">
        <v>0</v>
      </c>
      <c r="AO70" s="433">
        <v>0</v>
      </c>
      <c r="AP70" s="433">
        <v>0</v>
      </c>
      <c r="AQ70" s="433">
        <v>0</v>
      </c>
      <c r="AR70" s="433">
        <v>0</v>
      </c>
      <c r="AS70" s="433">
        <v>715264</v>
      </c>
      <c r="AT70" s="433">
        <v>320533.87666352984</v>
      </c>
      <c r="AU70" s="433">
        <v>156267.85</v>
      </c>
      <c r="AV70" s="433">
        <v>217854.48094842248</v>
      </c>
      <c r="AW70" s="433">
        <v>1192065.7266635299</v>
      </c>
      <c r="AX70" s="434">
        <v>1188497.8766635298</v>
      </c>
      <c r="AY70" s="434">
        <v>5115</v>
      </c>
      <c r="AZ70" s="434">
        <v>900240</v>
      </c>
      <c r="BA70" s="434">
        <v>0</v>
      </c>
      <c r="BB70" s="434">
        <v>0</v>
      </c>
      <c r="BC70" s="434">
        <v>1192065.7266635299</v>
      </c>
      <c r="BD70" s="434">
        <v>1192065.7266635299</v>
      </c>
      <c r="BE70" s="433">
        <v>0</v>
      </c>
      <c r="BF70" s="433">
        <v>903807.85</v>
      </c>
      <c r="BG70" s="434">
        <v>747540</v>
      </c>
      <c r="BH70" s="434">
        <v>1035797.8766635299</v>
      </c>
      <c r="BI70" s="433">
        <v>5885.2152083155106</v>
      </c>
      <c r="BJ70" s="433">
        <v>5604.9455094972063</v>
      </c>
      <c r="BK70" s="433">
        <v>5.0004000635404208E-2</v>
      </c>
      <c r="BL70" s="435">
        <v>-1.888588842699163E-2</v>
      </c>
      <c r="BM70" s="433">
        <v>-18630.370093584832</v>
      </c>
      <c r="BN70" s="433">
        <v>1173435.3565699451</v>
      </c>
      <c r="BO70" s="434">
        <v>6646.9744691474152</v>
      </c>
      <c r="BP70" s="434" t="s">
        <v>768</v>
      </c>
      <c r="BQ70" s="434">
        <v>6667.2463441474156</v>
      </c>
      <c r="BR70" s="434">
        <v>2.9138928801016206E-2</v>
      </c>
      <c r="BS70" s="659">
        <v>0</v>
      </c>
      <c r="BT70" s="433">
        <v>1173435.3565699451</v>
      </c>
      <c r="BU70" s="433">
        <v>0</v>
      </c>
      <c r="BV70" s="433">
        <v>1173435.3565699451</v>
      </c>
      <c r="BW70" s="433">
        <v>3567.85</v>
      </c>
      <c r="BX70" s="665">
        <v>1169867.506569945</v>
      </c>
      <c r="BY70" s="670"/>
      <c r="BZ70" s="380">
        <v>1169867.506569945</v>
      </c>
      <c r="CA70" s="380">
        <f t="shared" si="1"/>
        <v>0</v>
      </c>
    </row>
    <row r="71" spans="1:79" ht="14.5" x14ac:dyDescent="0.35">
      <c r="A71" s="430">
        <v>147119</v>
      </c>
      <c r="B71" s="430">
        <v>8312512</v>
      </c>
      <c r="C71" s="431" t="s">
        <v>121</v>
      </c>
      <c r="D71" s="430">
        <v>210</v>
      </c>
      <c r="E71" s="432">
        <v>210</v>
      </c>
      <c r="F71" s="432">
        <v>0</v>
      </c>
      <c r="G71" s="432">
        <v>853440</v>
      </c>
      <c r="H71" s="433">
        <v>0</v>
      </c>
      <c r="I71" s="433">
        <v>0</v>
      </c>
      <c r="J71" s="433">
        <v>21714.99999999992</v>
      </c>
      <c r="K71" s="433">
        <v>0</v>
      </c>
      <c r="L71" s="433">
        <v>53239.999999999869</v>
      </c>
      <c r="M71" s="433">
        <v>0</v>
      </c>
      <c r="N71" s="433">
        <v>11519.999999999971</v>
      </c>
      <c r="O71" s="433">
        <v>289.99999999999989</v>
      </c>
      <c r="P71" s="433">
        <v>0</v>
      </c>
      <c r="Q71" s="433">
        <v>0</v>
      </c>
      <c r="R71" s="433">
        <v>0</v>
      </c>
      <c r="S71" s="433">
        <v>0</v>
      </c>
      <c r="T71" s="433">
        <v>0</v>
      </c>
      <c r="U71" s="433">
        <v>0</v>
      </c>
      <c r="V71" s="433">
        <v>0</v>
      </c>
      <c r="W71" s="433">
        <v>0</v>
      </c>
      <c r="X71" s="433">
        <v>0</v>
      </c>
      <c r="Y71" s="433">
        <v>0</v>
      </c>
      <c r="Z71" s="433">
        <v>23484.999999999956</v>
      </c>
      <c r="AA71" s="433">
        <v>0</v>
      </c>
      <c r="AB71" s="433">
        <v>76427.741185586783</v>
      </c>
      <c r="AC71" s="433">
        <v>0</v>
      </c>
      <c r="AD71" s="433">
        <v>0</v>
      </c>
      <c r="AE71" s="433">
        <v>0</v>
      </c>
      <c r="AF71" s="433">
        <v>152700</v>
      </c>
      <c r="AG71" s="433">
        <v>0</v>
      </c>
      <c r="AH71" s="433">
        <v>0</v>
      </c>
      <c r="AI71" s="433">
        <v>0</v>
      </c>
      <c r="AJ71" s="433">
        <v>6606.6</v>
      </c>
      <c r="AK71" s="433">
        <v>0</v>
      </c>
      <c r="AL71" s="433">
        <v>0</v>
      </c>
      <c r="AM71" s="433">
        <v>0</v>
      </c>
      <c r="AN71" s="433">
        <v>0</v>
      </c>
      <c r="AO71" s="433">
        <v>0</v>
      </c>
      <c r="AP71" s="433">
        <v>0</v>
      </c>
      <c r="AQ71" s="433">
        <v>0</v>
      </c>
      <c r="AR71" s="433">
        <v>0</v>
      </c>
      <c r="AS71" s="433">
        <v>853440</v>
      </c>
      <c r="AT71" s="433">
        <v>186677.74118558649</v>
      </c>
      <c r="AU71" s="433">
        <v>159306.6</v>
      </c>
      <c r="AV71" s="433">
        <v>169343.98376791927</v>
      </c>
      <c r="AW71" s="433">
        <v>1199424.3411855865</v>
      </c>
      <c r="AX71" s="434">
        <v>1192817.7411855864</v>
      </c>
      <c r="AY71" s="434">
        <v>5115</v>
      </c>
      <c r="AZ71" s="434">
        <v>1074150</v>
      </c>
      <c r="BA71" s="434">
        <v>0</v>
      </c>
      <c r="BB71" s="434">
        <v>0</v>
      </c>
      <c r="BC71" s="434">
        <v>1199424.3411855865</v>
      </c>
      <c r="BD71" s="434">
        <v>1199424.3411855865</v>
      </c>
      <c r="BE71" s="433">
        <v>0</v>
      </c>
      <c r="BF71" s="433">
        <v>1080756.6000000001</v>
      </c>
      <c r="BG71" s="434">
        <v>921450.00000000012</v>
      </c>
      <c r="BH71" s="434">
        <v>1040117.7411855866</v>
      </c>
      <c r="BI71" s="433">
        <v>4952.9416246932697</v>
      </c>
      <c r="BJ71" s="433">
        <v>4699.0702981220657</v>
      </c>
      <c r="BK71" s="433">
        <v>5.4025862663229583E-2</v>
      </c>
      <c r="BL71" s="435">
        <v>-2.1588579709690282E-2</v>
      </c>
      <c r="BM71" s="433">
        <v>-21303.71327541372</v>
      </c>
      <c r="BN71" s="433">
        <v>1178120.6279101728</v>
      </c>
      <c r="BO71" s="434">
        <v>5578.63822814368</v>
      </c>
      <c r="BP71" s="434" t="s">
        <v>768</v>
      </c>
      <c r="BQ71" s="434">
        <v>5610.09822814368</v>
      </c>
      <c r="BR71" s="434">
        <v>3.0372622090783619E-2</v>
      </c>
      <c r="BS71" s="659">
        <v>0</v>
      </c>
      <c r="BT71" s="433">
        <v>1178120.6279101728</v>
      </c>
      <c r="BU71" s="433">
        <v>0</v>
      </c>
      <c r="BV71" s="433">
        <v>1178120.6279101728</v>
      </c>
      <c r="BW71" s="433">
        <v>6606.6</v>
      </c>
      <c r="BX71" s="665">
        <v>1171514.0279101727</v>
      </c>
      <c r="BY71" s="670"/>
      <c r="BZ71" s="380">
        <v>1171514.0279101727</v>
      </c>
      <c r="CA71" s="380">
        <f t="shared" si="1"/>
        <v>0</v>
      </c>
    </row>
    <row r="72" spans="1:79" ht="14.5" x14ac:dyDescent="0.35">
      <c r="A72" s="430">
        <v>147624</v>
      </c>
      <c r="B72" s="430">
        <v>8312522</v>
      </c>
      <c r="C72" s="431" t="s">
        <v>122</v>
      </c>
      <c r="D72" s="430">
        <v>433</v>
      </c>
      <c r="E72" s="432">
        <v>433</v>
      </c>
      <c r="F72" s="432">
        <v>0</v>
      </c>
      <c r="G72" s="432">
        <v>1759712</v>
      </c>
      <c r="H72" s="433">
        <v>0</v>
      </c>
      <c r="I72" s="433">
        <v>0</v>
      </c>
      <c r="J72" s="433">
        <v>19189.999999999993</v>
      </c>
      <c r="K72" s="433">
        <v>0</v>
      </c>
      <c r="L72" s="433">
        <v>50819.999999999985</v>
      </c>
      <c r="M72" s="433">
        <v>0</v>
      </c>
      <c r="N72" s="433">
        <v>7199.9999999999982</v>
      </c>
      <c r="O72" s="433">
        <v>2899.9999999999991</v>
      </c>
      <c r="P72" s="433">
        <v>909.99999999999955</v>
      </c>
      <c r="Q72" s="433">
        <v>1499.9999999999995</v>
      </c>
      <c r="R72" s="433">
        <v>1589.9999999999995</v>
      </c>
      <c r="S72" s="433">
        <v>2099.9999999999995</v>
      </c>
      <c r="T72" s="433">
        <v>0</v>
      </c>
      <c r="U72" s="433">
        <v>0</v>
      </c>
      <c r="V72" s="433">
        <v>0</v>
      </c>
      <c r="W72" s="433">
        <v>0</v>
      </c>
      <c r="X72" s="433">
        <v>0</v>
      </c>
      <c r="Y72" s="433">
        <v>0</v>
      </c>
      <c r="Z72" s="433">
        <v>13454.343163538853</v>
      </c>
      <c r="AA72" s="433">
        <v>0</v>
      </c>
      <c r="AB72" s="433">
        <v>93004.608811700455</v>
      </c>
      <c r="AC72" s="433">
        <v>0</v>
      </c>
      <c r="AD72" s="433">
        <v>0</v>
      </c>
      <c r="AE72" s="433">
        <v>0</v>
      </c>
      <c r="AF72" s="433">
        <v>152700</v>
      </c>
      <c r="AG72" s="433">
        <v>0</v>
      </c>
      <c r="AH72" s="433">
        <v>0</v>
      </c>
      <c r="AI72" s="433">
        <v>0</v>
      </c>
      <c r="AJ72" s="433">
        <v>6442.8</v>
      </c>
      <c r="AK72" s="433">
        <v>0</v>
      </c>
      <c r="AL72" s="433">
        <v>0</v>
      </c>
      <c r="AM72" s="433">
        <v>0</v>
      </c>
      <c r="AN72" s="433">
        <v>0</v>
      </c>
      <c r="AO72" s="433">
        <v>0</v>
      </c>
      <c r="AP72" s="433">
        <v>0</v>
      </c>
      <c r="AQ72" s="433">
        <v>0</v>
      </c>
      <c r="AR72" s="433">
        <v>0</v>
      </c>
      <c r="AS72" s="433">
        <v>1759712</v>
      </c>
      <c r="AT72" s="433">
        <v>192668.95197523927</v>
      </c>
      <c r="AU72" s="433">
        <v>159142.79999999999</v>
      </c>
      <c r="AV72" s="433">
        <v>279727.05404312169</v>
      </c>
      <c r="AW72" s="433">
        <v>2111523.7519752393</v>
      </c>
      <c r="AX72" s="434">
        <v>2105080.9519752394</v>
      </c>
      <c r="AY72" s="434">
        <v>5115</v>
      </c>
      <c r="AZ72" s="434">
        <v>2214795</v>
      </c>
      <c r="BA72" s="434">
        <v>109714.04802476056</v>
      </c>
      <c r="BB72" s="434">
        <v>0</v>
      </c>
      <c r="BC72" s="434">
        <v>2221237.7999999998</v>
      </c>
      <c r="BD72" s="434">
        <v>2221237.7999999998</v>
      </c>
      <c r="BE72" s="433">
        <v>0</v>
      </c>
      <c r="BF72" s="433">
        <v>2221237.7999999998</v>
      </c>
      <c r="BG72" s="434">
        <v>2062094.9999999998</v>
      </c>
      <c r="BH72" s="434">
        <v>2062094.9999999998</v>
      </c>
      <c r="BI72" s="433">
        <v>4762.344110854503</v>
      </c>
      <c r="BJ72" s="433">
        <v>4753.7855477855474</v>
      </c>
      <c r="BK72" s="433">
        <v>1.8003679347593821E-3</v>
      </c>
      <c r="BL72" s="435">
        <v>0</v>
      </c>
      <c r="BM72" s="433">
        <v>0</v>
      </c>
      <c r="BN72" s="433">
        <v>2221237.7999999998</v>
      </c>
      <c r="BO72" s="434">
        <v>5115</v>
      </c>
      <c r="BP72" s="434" t="s">
        <v>768</v>
      </c>
      <c r="BQ72" s="434">
        <v>5129.8794457274826</v>
      </c>
      <c r="BR72" s="434">
        <v>1.2654057951113629E-3</v>
      </c>
      <c r="BS72" s="659">
        <v>0</v>
      </c>
      <c r="BT72" s="433">
        <v>2221237.7999999998</v>
      </c>
      <c r="BU72" s="433">
        <v>0</v>
      </c>
      <c r="BV72" s="433">
        <v>2221237.7999999998</v>
      </c>
      <c r="BW72" s="433">
        <v>6442.8</v>
      </c>
      <c r="BX72" s="665">
        <v>2214795</v>
      </c>
      <c r="BY72" s="670"/>
      <c r="BZ72" s="380">
        <v>2214795</v>
      </c>
      <c r="CA72" s="380">
        <f t="shared" si="1"/>
        <v>0</v>
      </c>
    </row>
    <row r="73" spans="1:79" ht="14.5" x14ac:dyDescent="0.35">
      <c r="A73" s="430">
        <v>146715</v>
      </c>
      <c r="B73" s="430">
        <v>8312629</v>
      </c>
      <c r="C73" s="431" t="s">
        <v>123</v>
      </c>
      <c r="D73" s="430">
        <v>533</v>
      </c>
      <c r="E73" s="432">
        <v>533</v>
      </c>
      <c r="F73" s="432">
        <v>0</v>
      </c>
      <c r="G73" s="432">
        <v>2166112</v>
      </c>
      <c r="H73" s="433">
        <v>0</v>
      </c>
      <c r="I73" s="433">
        <v>0</v>
      </c>
      <c r="J73" s="433">
        <v>172709.99999999991</v>
      </c>
      <c r="K73" s="433">
        <v>0</v>
      </c>
      <c r="L73" s="433">
        <v>413819.99999999977</v>
      </c>
      <c r="M73" s="433">
        <v>0</v>
      </c>
      <c r="N73" s="433">
        <v>15119.999999999964</v>
      </c>
      <c r="O73" s="433">
        <v>9569.9999999999964</v>
      </c>
      <c r="P73" s="433">
        <v>108289.99999999997</v>
      </c>
      <c r="Q73" s="433">
        <v>76999.999999999869</v>
      </c>
      <c r="R73" s="433">
        <v>3179.9999999999859</v>
      </c>
      <c r="S73" s="433">
        <v>8400</v>
      </c>
      <c r="T73" s="433">
        <v>0</v>
      </c>
      <c r="U73" s="433">
        <v>0</v>
      </c>
      <c r="V73" s="433">
        <v>0</v>
      </c>
      <c r="W73" s="433">
        <v>0</v>
      </c>
      <c r="X73" s="433">
        <v>0</v>
      </c>
      <c r="Y73" s="433">
        <v>0</v>
      </c>
      <c r="Z73" s="433">
        <v>161145.21834061111</v>
      </c>
      <c r="AA73" s="433">
        <v>0</v>
      </c>
      <c r="AB73" s="433">
        <v>303032.84610658995</v>
      </c>
      <c r="AC73" s="433">
        <v>0</v>
      </c>
      <c r="AD73" s="433">
        <v>0</v>
      </c>
      <c r="AE73" s="433">
        <v>0</v>
      </c>
      <c r="AF73" s="433">
        <v>152700</v>
      </c>
      <c r="AG73" s="433">
        <v>0</v>
      </c>
      <c r="AH73" s="433">
        <v>0</v>
      </c>
      <c r="AI73" s="433">
        <v>0</v>
      </c>
      <c r="AJ73" s="433">
        <v>17144.400000000001</v>
      </c>
      <c r="AK73" s="433">
        <v>0</v>
      </c>
      <c r="AL73" s="433">
        <v>0</v>
      </c>
      <c r="AM73" s="433">
        <v>0</v>
      </c>
      <c r="AN73" s="433">
        <v>0</v>
      </c>
      <c r="AO73" s="433">
        <v>0</v>
      </c>
      <c r="AP73" s="433">
        <v>0</v>
      </c>
      <c r="AQ73" s="433">
        <v>0</v>
      </c>
      <c r="AR73" s="433">
        <v>0</v>
      </c>
      <c r="AS73" s="433">
        <v>2166112</v>
      </c>
      <c r="AT73" s="433">
        <v>1272268.0644472006</v>
      </c>
      <c r="AU73" s="433">
        <v>169844.4</v>
      </c>
      <c r="AV73" s="433">
        <v>716142.90319798747</v>
      </c>
      <c r="AW73" s="433">
        <v>3608224.4644472008</v>
      </c>
      <c r="AX73" s="434">
        <v>3591080.0644472009</v>
      </c>
      <c r="AY73" s="434">
        <v>5115</v>
      </c>
      <c r="AZ73" s="434">
        <v>2726295</v>
      </c>
      <c r="BA73" s="434">
        <v>0</v>
      </c>
      <c r="BB73" s="434">
        <v>0</v>
      </c>
      <c r="BC73" s="434">
        <v>3608224.4644472008</v>
      </c>
      <c r="BD73" s="434">
        <v>3608224.4644472008</v>
      </c>
      <c r="BE73" s="433">
        <v>0</v>
      </c>
      <c r="BF73" s="433">
        <v>2743439.4</v>
      </c>
      <c r="BG73" s="434">
        <v>2573595</v>
      </c>
      <c r="BH73" s="434">
        <v>3438380.0644472009</v>
      </c>
      <c r="BI73" s="433">
        <v>6450.9944923962494</v>
      </c>
      <c r="BJ73" s="433">
        <v>5883.2462391061445</v>
      </c>
      <c r="BK73" s="433">
        <v>9.6502548119822409E-2</v>
      </c>
      <c r="BL73" s="435">
        <v>-5.013291233652066E-2</v>
      </c>
      <c r="BM73" s="433">
        <v>-157205.29482229261</v>
      </c>
      <c r="BN73" s="433">
        <v>3451019.1696249084</v>
      </c>
      <c r="BO73" s="434">
        <v>6442.5417816602412</v>
      </c>
      <c r="BP73" s="434" t="s">
        <v>768</v>
      </c>
      <c r="BQ73" s="434">
        <v>6474.7076353187776</v>
      </c>
      <c r="BR73" s="434">
        <v>4.4875334566930603E-2</v>
      </c>
      <c r="BS73" s="659">
        <v>0</v>
      </c>
      <c r="BT73" s="433">
        <v>3451019.1696249084</v>
      </c>
      <c r="BU73" s="433">
        <v>0</v>
      </c>
      <c r="BV73" s="433">
        <v>3451019.1696249084</v>
      </c>
      <c r="BW73" s="433">
        <v>17144.400000000001</v>
      </c>
      <c r="BX73" s="665">
        <v>3433874.7696249085</v>
      </c>
      <c r="BY73" s="670"/>
      <c r="BZ73" s="380">
        <v>3433874.7696249085</v>
      </c>
      <c r="CA73" s="380">
        <f t="shared" ref="CA73:CA99" si="2">+BZ73-BX73</f>
        <v>0</v>
      </c>
    </row>
    <row r="74" spans="1:79" ht="14.5" x14ac:dyDescent="0.35">
      <c r="A74" s="430">
        <v>146575</v>
      </c>
      <c r="B74" s="430">
        <v>8313158</v>
      </c>
      <c r="C74" s="431" t="s">
        <v>124</v>
      </c>
      <c r="D74" s="430">
        <v>109</v>
      </c>
      <c r="E74" s="432">
        <v>109</v>
      </c>
      <c r="F74" s="432">
        <v>0</v>
      </c>
      <c r="G74" s="432">
        <v>442976</v>
      </c>
      <c r="H74" s="433">
        <v>0</v>
      </c>
      <c r="I74" s="433">
        <v>0</v>
      </c>
      <c r="J74" s="433">
        <v>28279.999999999982</v>
      </c>
      <c r="K74" s="433">
        <v>0</v>
      </c>
      <c r="L74" s="433">
        <v>70179.999999999956</v>
      </c>
      <c r="M74" s="433">
        <v>0</v>
      </c>
      <c r="N74" s="433">
        <v>479.99999999999972</v>
      </c>
      <c r="O74" s="433">
        <v>7249.99999999998</v>
      </c>
      <c r="P74" s="433">
        <v>25934.99999999996</v>
      </c>
      <c r="Q74" s="433">
        <v>8499.9999999999673</v>
      </c>
      <c r="R74" s="433">
        <v>2649.9999999999986</v>
      </c>
      <c r="S74" s="433">
        <v>0</v>
      </c>
      <c r="T74" s="433">
        <v>0</v>
      </c>
      <c r="U74" s="433">
        <v>0</v>
      </c>
      <c r="V74" s="433">
        <v>0</v>
      </c>
      <c r="W74" s="433">
        <v>0</v>
      </c>
      <c r="X74" s="433">
        <v>0</v>
      </c>
      <c r="Y74" s="433">
        <v>0</v>
      </c>
      <c r="Z74" s="433">
        <v>62057.333333333307</v>
      </c>
      <c r="AA74" s="433">
        <v>0</v>
      </c>
      <c r="AB74" s="433">
        <v>75309.09090909081</v>
      </c>
      <c r="AC74" s="433">
        <v>0</v>
      </c>
      <c r="AD74" s="433">
        <v>453.09999999999616</v>
      </c>
      <c r="AE74" s="433">
        <v>0</v>
      </c>
      <c r="AF74" s="433">
        <v>152700</v>
      </c>
      <c r="AG74" s="433">
        <v>0</v>
      </c>
      <c r="AH74" s="433">
        <v>0</v>
      </c>
      <c r="AI74" s="433">
        <v>0</v>
      </c>
      <c r="AJ74" s="433">
        <v>2544.9</v>
      </c>
      <c r="AK74" s="433">
        <v>0</v>
      </c>
      <c r="AL74" s="433">
        <v>0</v>
      </c>
      <c r="AM74" s="433">
        <v>0</v>
      </c>
      <c r="AN74" s="433">
        <v>0</v>
      </c>
      <c r="AO74" s="433">
        <v>0</v>
      </c>
      <c r="AP74" s="433">
        <v>0</v>
      </c>
      <c r="AQ74" s="433">
        <v>0</v>
      </c>
      <c r="AR74" s="433">
        <v>0</v>
      </c>
      <c r="AS74" s="433">
        <v>442976</v>
      </c>
      <c r="AT74" s="433">
        <v>281094.52424242394</v>
      </c>
      <c r="AU74" s="433">
        <v>155244.9</v>
      </c>
      <c r="AV74" s="433">
        <v>155515.07404545444</v>
      </c>
      <c r="AW74" s="433">
        <v>879315.42424242396</v>
      </c>
      <c r="AX74" s="434">
        <v>876770.52424242394</v>
      </c>
      <c r="AY74" s="434">
        <v>5115</v>
      </c>
      <c r="AZ74" s="434">
        <v>557535</v>
      </c>
      <c r="BA74" s="434">
        <v>0</v>
      </c>
      <c r="BB74" s="434">
        <v>0</v>
      </c>
      <c r="BC74" s="434">
        <v>879315.42424242396</v>
      </c>
      <c r="BD74" s="434">
        <v>879315.42424242408</v>
      </c>
      <c r="BE74" s="433">
        <v>0</v>
      </c>
      <c r="BF74" s="433">
        <v>560079.9</v>
      </c>
      <c r="BG74" s="434">
        <v>404835</v>
      </c>
      <c r="BH74" s="434">
        <v>724070.52424242394</v>
      </c>
      <c r="BI74" s="433">
        <v>6642.8488462607702</v>
      </c>
      <c r="BJ74" s="433">
        <v>6339.1488564102565</v>
      </c>
      <c r="BK74" s="433">
        <v>4.7908638325065839E-2</v>
      </c>
      <c r="BL74" s="435">
        <v>-1.7477804954444245E-2</v>
      </c>
      <c r="BM74" s="433">
        <v>-12076.590394558416</v>
      </c>
      <c r="BN74" s="433">
        <v>867238.83384786558</v>
      </c>
      <c r="BO74" s="434">
        <v>7932.971870163904</v>
      </c>
      <c r="BP74" s="434" t="s">
        <v>768</v>
      </c>
      <c r="BQ74" s="434">
        <v>7956.3195765859227</v>
      </c>
      <c r="BR74" s="434">
        <v>3.8046498461813183E-2</v>
      </c>
      <c r="BS74" s="659">
        <v>0</v>
      </c>
      <c r="BT74" s="433">
        <v>867238.83384786558</v>
      </c>
      <c r="BU74" s="433">
        <v>0</v>
      </c>
      <c r="BV74" s="433">
        <v>867238.83384786558</v>
      </c>
      <c r="BW74" s="433">
        <v>2544.9</v>
      </c>
      <c r="BX74" s="665">
        <v>864693.93384786556</v>
      </c>
      <c r="BY74" s="670"/>
      <c r="BZ74" s="380">
        <v>864693.93384786556</v>
      </c>
      <c r="CA74" s="380">
        <f t="shared" si="2"/>
        <v>0</v>
      </c>
    </row>
    <row r="75" spans="1:79" ht="14.5" x14ac:dyDescent="0.35">
      <c r="A75" s="430">
        <v>146140</v>
      </c>
      <c r="B75" s="430">
        <v>8313528</v>
      </c>
      <c r="C75" s="431" t="s">
        <v>125</v>
      </c>
      <c r="D75" s="430">
        <v>365</v>
      </c>
      <c r="E75" s="432">
        <v>365</v>
      </c>
      <c r="F75" s="432">
        <v>0</v>
      </c>
      <c r="G75" s="432">
        <v>1483360</v>
      </c>
      <c r="H75" s="433">
        <v>0</v>
      </c>
      <c r="I75" s="433">
        <v>0</v>
      </c>
      <c r="J75" s="433">
        <v>42924.999999999978</v>
      </c>
      <c r="K75" s="433">
        <v>0</v>
      </c>
      <c r="L75" s="433">
        <v>105269.99999999971</v>
      </c>
      <c r="M75" s="433">
        <v>0</v>
      </c>
      <c r="N75" s="433">
        <v>21178.021978021912</v>
      </c>
      <c r="O75" s="433">
        <v>15703.02197802194</v>
      </c>
      <c r="P75" s="433">
        <v>8668.75</v>
      </c>
      <c r="Q75" s="433">
        <v>8523.3516483516487</v>
      </c>
      <c r="R75" s="433">
        <v>11692.032967032959</v>
      </c>
      <c r="S75" s="433">
        <v>16144.230769230748</v>
      </c>
      <c r="T75" s="433">
        <v>0</v>
      </c>
      <c r="U75" s="433">
        <v>0</v>
      </c>
      <c r="V75" s="433">
        <v>0</v>
      </c>
      <c r="W75" s="433">
        <v>0</v>
      </c>
      <c r="X75" s="433">
        <v>0</v>
      </c>
      <c r="Y75" s="433">
        <v>0</v>
      </c>
      <c r="Z75" s="433">
        <v>85849.373040752311</v>
      </c>
      <c r="AA75" s="433">
        <v>0</v>
      </c>
      <c r="AB75" s="433">
        <v>143931.10819407325</v>
      </c>
      <c r="AC75" s="433">
        <v>0</v>
      </c>
      <c r="AD75" s="433">
        <v>21768.499999999836</v>
      </c>
      <c r="AE75" s="433">
        <v>0</v>
      </c>
      <c r="AF75" s="433">
        <v>152700</v>
      </c>
      <c r="AG75" s="433">
        <v>0</v>
      </c>
      <c r="AH75" s="433">
        <v>0</v>
      </c>
      <c r="AI75" s="433">
        <v>0</v>
      </c>
      <c r="AJ75" s="433">
        <v>21075.599999999999</v>
      </c>
      <c r="AK75" s="433">
        <v>0</v>
      </c>
      <c r="AL75" s="433">
        <v>0</v>
      </c>
      <c r="AM75" s="433">
        <v>0</v>
      </c>
      <c r="AN75" s="433">
        <v>0</v>
      </c>
      <c r="AO75" s="433">
        <v>0</v>
      </c>
      <c r="AP75" s="433">
        <v>0</v>
      </c>
      <c r="AQ75" s="433">
        <v>0</v>
      </c>
      <c r="AR75" s="433">
        <v>0</v>
      </c>
      <c r="AS75" s="433">
        <v>1483360</v>
      </c>
      <c r="AT75" s="433">
        <v>481653.39057548426</v>
      </c>
      <c r="AU75" s="433">
        <v>173775.6</v>
      </c>
      <c r="AV75" s="433">
        <v>366001.89383381419</v>
      </c>
      <c r="AW75" s="433">
        <v>2138788.9905754845</v>
      </c>
      <c r="AX75" s="434">
        <v>2117713.3905754844</v>
      </c>
      <c r="AY75" s="434">
        <v>5115</v>
      </c>
      <c r="AZ75" s="434">
        <v>1866975</v>
      </c>
      <c r="BA75" s="434">
        <v>0</v>
      </c>
      <c r="BB75" s="434">
        <v>0</v>
      </c>
      <c r="BC75" s="434">
        <v>2138788.9905754845</v>
      </c>
      <c r="BD75" s="434">
        <v>2138788.990575484</v>
      </c>
      <c r="BE75" s="433">
        <v>0</v>
      </c>
      <c r="BF75" s="433">
        <v>1888050.6</v>
      </c>
      <c r="BG75" s="434">
        <v>1714275</v>
      </c>
      <c r="BH75" s="434">
        <v>1965013.3905754844</v>
      </c>
      <c r="BI75" s="433">
        <v>5383.5983303437924</v>
      </c>
      <c r="BJ75" s="433">
        <v>5266.5727445714292</v>
      </c>
      <c r="BK75" s="433">
        <v>2.2220444195513767E-2</v>
      </c>
      <c r="BL75" s="435">
        <v>-2.1533849938525209E-4</v>
      </c>
      <c r="BM75" s="433">
        <v>-413.94499317753724</v>
      </c>
      <c r="BN75" s="433">
        <v>2138375.045582307</v>
      </c>
      <c r="BO75" s="434">
        <v>5800.8203988556352</v>
      </c>
      <c r="BP75" s="434" t="s">
        <v>768</v>
      </c>
      <c r="BQ75" s="434">
        <v>5858.5617687186495</v>
      </c>
      <c r="BR75" s="434">
        <v>1.5682882072082016E-2</v>
      </c>
      <c r="BS75" s="659">
        <v>0</v>
      </c>
      <c r="BT75" s="433">
        <v>2138375.045582307</v>
      </c>
      <c r="BU75" s="433">
        <v>0</v>
      </c>
      <c r="BV75" s="433">
        <v>2138375.045582307</v>
      </c>
      <c r="BW75" s="433">
        <v>21075.599999999999</v>
      </c>
      <c r="BX75" s="665">
        <v>2117299.4455823069</v>
      </c>
      <c r="BY75" s="670"/>
      <c r="BZ75" s="380">
        <v>2117299.4455823069</v>
      </c>
      <c r="CA75" s="380">
        <f t="shared" si="2"/>
        <v>0</v>
      </c>
    </row>
    <row r="76" spans="1:79" ht="14.5" x14ac:dyDescent="0.35">
      <c r="A76" s="430">
        <v>142752</v>
      </c>
      <c r="B76" s="430">
        <v>8313530</v>
      </c>
      <c r="C76" s="431" t="s">
        <v>126</v>
      </c>
      <c r="D76" s="430">
        <v>408</v>
      </c>
      <c r="E76" s="432">
        <v>408</v>
      </c>
      <c r="F76" s="432">
        <v>0</v>
      </c>
      <c r="G76" s="432">
        <v>1658112</v>
      </c>
      <c r="H76" s="433">
        <v>0</v>
      </c>
      <c r="I76" s="433">
        <v>0</v>
      </c>
      <c r="J76" s="433">
        <v>7069.9999999999836</v>
      </c>
      <c r="K76" s="433">
        <v>0</v>
      </c>
      <c r="L76" s="433">
        <v>16939.99999999996</v>
      </c>
      <c r="M76" s="433">
        <v>0</v>
      </c>
      <c r="N76" s="433">
        <v>4559.9999999999918</v>
      </c>
      <c r="O76" s="433">
        <v>3189.9999999999895</v>
      </c>
      <c r="P76" s="433">
        <v>3184.9999999999927</v>
      </c>
      <c r="Q76" s="433">
        <v>2999.9999999999845</v>
      </c>
      <c r="R76" s="433">
        <v>1059.9999999999989</v>
      </c>
      <c r="S76" s="433">
        <v>699.9999999999992</v>
      </c>
      <c r="T76" s="433">
        <v>0</v>
      </c>
      <c r="U76" s="433">
        <v>0</v>
      </c>
      <c r="V76" s="433">
        <v>0</v>
      </c>
      <c r="W76" s="433">
        <v>0</v>
      </c>
      <c r="X76" s="433">
        <v>0</v>
      </c>
      <c r="Y76" s="433">
        <v>0</v>
      </c>
      <c r="Z76" s="433">
        <v>8582.0689655172264</v>
      </c>
      <c r="AA76" s="433">
        <v>0</v>
      </c>
      <c r="AB76" s="433">
        <v>97790.490252518328</v>
      </c>
      <c r="AC76" s="433">
        <v>0</v>
      </c>
      <c r="AD76" s="433">
        <v>0</v>
      </c>
      <c r="AE76" s="433">
        <v>0</v>
      </c>
      <c r="AF76" s="433">
        <v>152700</v>
      </c>
      <c r="AG76" s="433">
        <v>0</v>
      </c>
      <c r="AH76" s="433">
        <v>0</v>
      </c>
      <c r="AI76" s="433">
        <v>0</v>
      </c>
      <c r="AJ76" s="433">
        <v>5951.4</v>
      </c>
      <c r="AK76" s="433">
        <v>0</v>
      </c>
      <c r="AL76" s="433">
        <v>0</v>
      </c>
      <c r="AM76" s="433">
        <v>0</v>
      </c>
      <c r="AN76" s="433">
        <v>0</v>
      </c>
      <c r="AO76" s="433">
        <v>0</v>
      </c>
      <c r="AP76" s="433">
        <v>0</v>
      </c>
      <c r="AQ76" s="433">
        <v>0</v>
      </c>
      <c r="AR76" s="433">
        <v>0</v>
      </c>
      <c r="AS76" s="433">
        <v>1658112</v>
      </c>
      <c r="AT76" s="433">
        <v>146077.55921803546</v>
      </c>
      <c r="AU76" s="433">
        <v>158651.4</v>
      </c>
      <c r="AV76" s="433">
        <v>250877.71893470231</v>
      </c>
      <c r="AW76" s="433">
        <v>1962840.9592180355</v>
      </c>
      <c r="AX76" s="434">
        <v>1956889.5592180355</v>
      </c>
      <c r="AY76" s="434">
        <v>5115</v>
      </c>
      <c r="AZ76" s="434">
        <v>2086920</v>
      </c>
      <c r="BA76" s="434">
        <v>130030.44078196445</v>
      </c>
      <c r="BB76" s="434">
        <v>0</v>
      </c>
      <c r="BC76" s="434">
        <v>2092871.4</v>
      </c>
      <c r="BD76" s="434">
        <v>2092871.4</v>
      </c>
      <c r="BE76" s="433">
        <v>0</v>
      </c>
      <c r="BF76" s="433">
        <v>2092871.4</v>
      </c>
      <c r="BG76" s="434">
        <v>1934220</v>
      </c>
      <c r="BH76" s="434">
        <v>1934220</v>
      </c>
      <c r="BI76" s="433">
        <v>4740.7352941176468</v>
      </c>
      <c r="BJ76" s="433">
        <v>4726.9653465346537</v>
      </c>
      <c r="BK76" s="433">
        <v>2.913062942821852E-3</v>
      </c>
      <c r="BL76" s="435">
        <v>0</v>
      </c>
      <c r="BM76" s="433">
        <v>0</v>
      </c>
      <c r="BN76" s="433">
        <v>2092871.4</v>
      </c>
      <c r="BO76" s="434">
        <v>5115</v>
      </c>
      <c r="BP76" s="434" t="s">
        <v>768</v>
      </c>
      <c r="BQ76" s="434">
        <v>5129.5867647058822</v>
      </c>
      <c r="BR76" s="434">
        <v>2.1946126424154944E-3</v>
      </c>
      <c r="BS76" s="659">
        <v>0</v>
      </c>
      <c r="BT76" s="433">
        <v>2092871.4</v>
      </c>
      <c r="BU76" s="433">
        <v>0</v>
      </c>
      <c r="BV76" s="433">
        <v>2092871.4</v>
      </c>
      <c r="BW76" s="433">
        <v>5951.4</v>
      </c>
      <c r="BX76" s="665">
        <v>2086920</v>
      </c>
      <c r="BY76" s="670"/>
      <c r="BZ76" s="380">
        <v>2086920</v>
      </c>
      <c r="CA76" s="380">
        <f t="shared" si="2"/>
        <v>0</v>
      </c>
    </row>
    <row r="77" spans="1:79" ht="14.5" x14ac:dyDescent="0.35">
      <c r="A77" s="430">
        <v>138666</v>
      </c>
      <c r="B77" s="430">
        <v>8313531</v>
      </c>
      <c r="C77" s="431" t="s">
        <v>127</v>
      </c>
      <c r="D77" s="430">
        <v>342</v>
      </c>
      <c r="E77" s="432">
        <v>342</v>
      </c>
      <c r="F77" s="432">
        <v>0</v>
      </c>
      <c r="G77" s="432">
        <v>1389888</v>
      </c>
      <c r="H77" s="433">
        <v>0</v>
      </c>
      <c r="I77" s="433">
        <v>0</v>
      </c>
      <c r="J77" s="433">
        <v>38884.999999999942</v>
      </c>
      <c r="K77" s="433">
        <v>0</v>
      </c>
      <c r="L77" s="433">
        <v>94379.999999999796</v>
      </c>
      <c r="M77" s="433">
        <v>0</v>
      </c>
      <c r="N77" s="433">
        <v>1199.9999999999941</v>
      </c>
      <c r="O77" s="433">
        <v>11889.999999999949</v>
      </c>
      <c r="P77" s="433">
        <v>5459.9999999999973</v>
      </c>
      <c r="Q77" s="433">
        <v>8999.9999999999964</v>
      </c>
      <c r="R77" s="433">
        <v>18019.999999999985</v>
      </c>
      <c r="S77" s="433">
        <v>4899.99999999999</v>
      </c>
      <c r="T77" s="433">
        <v>0</v>
      </c>
      <c r="U77" s="433">
        <v>0</v>
      </c>
      <c r="V77" s="433">
        <v>0</v>
      </c>
      <c r="W77" s="433">
        <v>0</v>
      </c>
      <c r="X77" s="433">
        <v>0</v>
      </c>
      <c r="Y77" s="433">
        <v>0</v>
      </c>
      <c r="Z77" s="433">
        <v>47479.034482758478</v>
      </c>
      <c r="AA77" s="433">
        <v>0</v>
      </c>
      <c r="AB77" s="433">
        <v>92658.568142112024</v>
      </c>
      <c r="AC77" s="433">
        <v>0</v>
      </c>
      <c r="AD77" s="433">
        <v>11307.8</v>
      </c>
      <c r="AE77" s="433">
        <v>0</v>
      </c>
      <c r="AF77" s="433">
        <v>152700</v>
      </c>
      <c r="AG77" s="433">
        <v>0</v>
      </c>
      <c r="AH77" s="433">
        <v>0</v>
      </c>
      <c r="AI77" s="433">
        <v>0</v>
      </c>
      <c r="AJ77" s="433">
        <v>5733</v>
      </c>
      <c r="AK77" s="433">
        <v>0</v>
      </c>
      <c r="AL77" s="433">
        <v>0</v>
      </c>
      <c r="AM77" s="433">
        <v>0</v>
      </c>
      <c r="AN77" s="433">
        <v>0</v>
      </c>
      <c r="AO77" s="433">
        <v>0</v>
      </c>
      <c r="AP77" s="433">
        <v>0</v>
      </c>
      <c r="AQ77" s="433">
        <v>0</v>
      </c>
      <c r="AR77" s="433">
        <v>0</v>
      </c>
      <c r="AS77" s="433">
        <v>1389888</v>
      </c>
      <c r="AT77" s="433">
        <v>335180.40262487013</v>
      </c>
      <c r="AU77" s="433">
        <v>158433</v>
      </c>
      <c r="AV77" s="433">
        <v>294538.44608043908</v>
      </c>
      <c r="AW77" s="433">
        <v>1883501.4026248702</v>
      </c>
      <c r="AX77" s="434">
        <v>1877768.4026248702</v>
      </c>
      <c r="AY77" s="434">
        <v>5115</v>
      </c>
      <c r="AZ77" s="434">
        <v>1749330</v>
      </c>
      <c r="BA77" s="434">
        <v>0</v>
      </c>
      <c r="BB77" s="434">
        <v>0</v>
      </c>
      <c r="BC77" s="434">
        <v>1883501.4026248702</v>
      </c>
      <c r="BD77" s="434">
        <v>1883501.4026248704</v>
      </c>
      <c r="BE77" s="433">
        <v>0</v>
      </c>
      <c r="BF77" s="433">
        <v>1755063</v>
      </c>
      <c r="BG77" s="434">
        <v>1596630</v>
      </c>
      <c r="BH77" s="434">
        <v>1725068.4026248702</v>
      </c>
      <c r="BI77" s="433">
        <v>5044.0596567978664</v>
      </c>
      <c r="BJ77" s="433">
        <v>4962.7740979228483</v>
      </c>
      <c r="BK77" s="433">
        <v>1.6379056807973559E-2</v>
      </c>
      <c r="BL77" s="435">
        <v>0</v>
      </c>
      <c r="BM77" s="433">
        <v>0</v>
      </c>
      <c r="BN77" s="433">
        <v>1883501.4026248702</v>
      </c>
      <c r="BO77" s="434">
        <v>5490.5508848680411</v>
      </c>
      <c r="BP77" s="434" t="s">
        <v>768</v>
      </c>
      <c r="BQ77" s="434">
        <v>5507.3140427627786</v>
      </c>
      <c r="BR77" s="434">
        <v>1.389430892097554E-2</v>
      </c>
      <c r="BS77" s="659">
        <v>0</v>
      </c>
      <c r="BT77" s="433">
        <v>1883501.4026248702</v>
      </c>
      <c r="BU77" s="433">
        <v>0</v>
      </c>
      <c r="BV77" s="433">
        <v>1883501.4026248702</v>
      </c>
      <c r="BW77" s="433">
        <v>5733</v>
      </c>
      <c r="BX77" s="665">
        <v>1877768.4026248702</v>
      </c>
      <c r="BY77" s="670"/>
      <c r="BZ77" s="380">
        <v>1877768.4026248702</v>
      </c>
      <c r="CA77" s="380">
        <f t="shared" si="2"/>
        <v>0</v>
      </c>
    </row>
    <row r="78" spans="1:79" ht="14.5" x14ac:dyDescent="0.35">
      <c r="A78" s="430">
        <v>147490</v>
      </c>
      <c r="B78" s="430">
        <v>8313532</v>
      </c>
      <c r="C78" s="431" t="s">
        <v>128</v>
      </c>
      <c r="D78" s="430">
        <v>284</v>
      </c>
      <c r="E78" s="432">
        <v>284</v>
      </c>
      <c r="F78" s="432">
        <v>0</v>
      </c>
      <c r="G78" s="432">
        <v>1154176</v>
      </c>
      <c r="H78" s="433">
        <v>0</v>
      </c>
      <c r="I78" s="433">
        <v>0</v>
      </c>
      <c r="J78" s="433">
        <v>23734.999999999873</v>
      </c>
      <c r="K78" s="433">
        <v>0</v>
      </c>
      <c r="L78" s="433">
        <v>56869.999999999702</v>
      </c>
      <c r="M78" s="433">
        <v>0</v>
      </c>
      <c r="N78" s="433">
        <v>13439.99999999998</v>
      </c>
      <c r="O78" s="433">
        <v>3189.9999999999927</v>
      </c>
      <c r="P78" s="433">
        <v>1819.9999999999973</v>
      </c>
      <c r="Q78" s="433">
        <v>2999.9999999999886</v>
      </c>
      <c r="R78" s="433">
        <v>1589.9999999999939</v>
      </c>
      <c r="S78" s="433">
        <v>0</v>
      </c>
      <c r="T78" s="433">
        <v>0</v>
      </c>
      <c r="U78" s="433">
        <v>0</v>
      </c>
      <c r="V78" s="433">
        <v>0</v>
      </c>
      <c r="W78" s="433">
        <v>0</v>
      </c>
      <c r="X78" s="433">
        <v>0</v>
      </c>
      <c r="Y78" s="433">
        <v>0</v>
      </c>
      <c r="Z78" s="433">
        <v>7684.0322580645134</v>
      </c>
      <c r="AA78" s="433">
        <v>0</v>
      </c>
      <c r="AB78" s="433">
        <v>80968.282675291834</v>
      </c>
      <c r="AC78" s="433">
        <v>0</v>
      </c>
      <c r="AD78" s="433">
        <v>0</v>
      </c>
      <c r="AE78" s="433">
        <v>0</v>
      </c>
      <c r="AF78" s="433">
        <v>152700</v>
      </c>
      <c r="AG78" s="433">
        <v>0</v>
      </c>
      <c r="AH78" s="433">
        <v>0</v>
      </c>
      <c r="AI78" s="433">
        <v>0</v>
      </c>
      <c r="AJ78" s="433">
        <v>4990</v>
      </c>
      <c r="AK78" s="433">
        <v>0</v>
      </c>
      <c r="AL78" s="433">
        <v>0</v>
      </c>
      <c r="AM78" s="433">
        <v>0</v>
      </c>
      <c r="AN78" s="433">
        <v>0</v>
      </c>
      <c r="AO78" s="433">
        <v>0</v>
      </c>
      <c r="AP78" s="433">
        <v>0</v>
      </c>
      <c r="AQ78" s="433">
        <v>0</v>
      </c>
      <c r="AR78" s="433">
        <v>0</v>
      </c>
      <c r="AS78" s="433">
        <v>1154176</v>
      </c>
      <c r="AT78" s="433">
        <v>192297.3149333559</v>
      </c>
      <c r="AU78" s="433">
        <v>157690</v>
      </c>
      <c r="AV78" s="433">
        <v>206654.75706239507</v>
      </c>
      <c r="AW78" s="433">
        <v>1504163.3149333559</v>
      </c>
      <c r="AX78" s="434">
        <v>1499173.3149333559</v>
      </c>
      <c r="AY78" s="434">
        <v>5115</v>
      </c>
      <c r="AZ78" s="434">
        <v>1452660</v>
      </c>
      <c r="BA78" s="434">
        <v>0</v>
      </c>
      <c r="BB78" s="434">
        <v>0</v>
      </c>
      <c r="BC78" s="434">
        <v>1504163.3149333559</v>
      </c>
      <c r="BD78" s="434">
        <v>1504163.3149333559</v>
      </c>
      <c r="BE78" s="433">
        <v>0</v>
      </c>
      <c r="BF78" s="433">
        <v>1457650</v>
      </c>
      <c r="BG78" s="434">
        <v>1299960</v>
      </c>
      <c r="BH78" s="434">
        <v>1346473.3149333559</v>
      </c>
      <c r="BI78" s="433">
        <v>4741.1032215963232</v>
      </c>
      <c r="BJ78" s="433">
        <v>4645.867473103448</v>
      </c>
      <c r="BK78" s="433">
        <v>2.0499023927012191E-2</v>
      </c>
      <c r="BL78" s="435">
        <v>0</v>
      </c>
      <c r="BM78" s="433">
        <v>0</v>
      </c>
      <c r="BN78" s="433">
        <v>1504163.3149333559</v>
      </c>
      <c r="BO78" s="434">
        <v>5278.7792779343517</v>
      </c>
      <c r="BP78" s="434" t="s">
        <v>768</v>
      </c>
      <c r="BQ78" s="434">
        <v>5296.3497004695628</v>
      </c>
      <c r="BR78" s="434">
        <v>2.0476648935080943E-2</v>
      </c>
      <c r="BS78" s="659">
        <v>0</v>
      </c>
      <c r="BT78" s="433">
        <v>1504163.3149333559</v>
      </c>
      <c r="BU78" s="433">
        <v>0</v>
      </c>
      <c r="BV78" s="433">
        <v>1504163.3149333559</v>
      </c>
      <c r="BW78" s="433">
        <v>4990</v>
      </c>
      <c r="BX78" s="665">
        <v>1499173.3149333559</v>
      </c>
      <c r="BY78" s="670"/>
      <c r="BZ78" s="380">
        <v>1499173.3149333559</v>
      </c>
      <c r="CA78" s="380">
        <f t="shared" si="2"/>
        <v>0</v>
      </c>
    </row>
    <row r="79" spans="1:79" ht="14.5" x14ac:dyDescent="0.35">
      <c r="A79" s="430">
        <v>148368</v>
      </c>
      <c r="B79" s="430">
        <v>8313535</v>
      </c>
      <c r="C79" s="431" t="s">
        <v>129</v>
      </c>
      <c r="D79" s="430">
        <v>299</v>
      </c>
      <c r="E79" s="432">
        <v>299</v>
      </c>
      <c r="F79" s="432">
        <v>0</v>
      </c>
      <c r="G79" s="432">
        <v>1215136</v>
      </c>
      <c r="H79" s="433">
        <v>0</v>
      </c>
      <c r="I79" s="433">
        <v>0</v>
      </c>
      <c r="J79" s="433">
        <v>89384.999999999971</v>
      </c>
      <c r="K79" s="433">
        <v>0</v>
      </c>
      <c r="L79" s="433">
        <v>215379.99999999985</v>
      </c>
      <c r="M79" s="433">
        <v>0</v>
      </c>
      <c r="N79" s="433">
        <v>11317.85234899328</v>
      </c>
      <c r="O79" s="433">
        <v>21532.013422818731</v>
      </c>
      <c r="P79" s="433">
        <v>38348.255033556983</v>
      </c>
      <c r="Q79" s="433">
        <v>27090.604026845613</v>
      </c>
      <c r="R79" s="433">
        <v>3722.4496644295236</v>
      </c>
      <c r="S79" s="433">
        <v>16856.375838926164</v>
      </c>
      <c r="T79" s="433">
        <v>0</v>
      </c>
      <c r="U79" s="433">
        <v>0</v>
      </c>
      <c r="V79" s="433">
        <v>0</v>
      </c>
      <c r="W79" s="433">
        <v>0</v>
      </c>
      <c r="X79" s="433">
        <v>0</v>
      </c>
      <c r="Y79" s="433">
        <v>0</v>
      </c>
      <c r="Z79" s="433">
        <v>63439.999999999869</v>
      </c>
      <c r="AA79" s="433">
        <v>0</v>
      </c>
      <c r="AB79" s="433">
        <v>147513.84505440312</v>
      </c>
      <c r="AC79" s="433">
        <v>0</v>
      </c>
      <c r="AD79" s="433">
        <v>5060.1234899328665</v>
      </c>
      <c r="AE79" s="433">
        <v>0</v>
      </c>
      <c r="AF79" s="433">
        <v>152700</v>
      </c>
      <c r="AG79" s="433">
        <v>0</v>
      </c>
      <c r="AH79" s="433">
        <v>0</v>
      </c>
      <c r="AI79" s="433">
        <v>0</v>
      </c>
      <c r="AJ79" s="433">
        <v>4241.5</v>
      </c>
      <c r="AK79" s="433">
        <v>0</v>
      </c>
      <c r="AL79" s="433">
        <v>0</v>
      </c>
      <c r="AM79" s="433">
        <v>0</v>
      </c>
      <c r="AN79" s="433">
        <v>0</v>
      </c>
      <c r="AO79" s="433">
        <v>0</v>
      </c>
      <c r="AP79" s="433">
        <v>0</v>
      </c>
      <c r="AQ79" s="433">
        <v>0</v>
      </c>
      <c r="AR79" s="433">
        <v>0</v>
      </c>
      <c r="AS79" s="433">
        <v>1215136</v>
      </c>
      <c r="AT79" s="433">
        <v>639646.51887990604</v>
      </c>
      <c r="AU79" s="433">
        <v>156941.5</v>
      </c>
      <c r="AV79" s="433">
        <v>377613.26786489843</v>
      </c>
      <c r="AW79" s="433">
        <v>2011724.018879906</v>
      </c>
      <c r="AX79" s="434">
        <v>2007482.518879906</v>
      </c>
      <c r="AY79" s="434">
        <v>5115</v>
      </c>
      <c r="AZ79" s="434">
        <v>1529385</v>
      </c>
      <c r="BA79" s="434">
        <v>0</v>
      </c>
      <c r="BB79" s="434">
        <v>0</v>
      </c>
      <c r="BC79" s="434">
        <v>2011724.018879906</v>
      </c>
      <c r="BD79" s="434">
        <v>2011724.0188799058</v>
      </c>
      <c r="BE79" s="433">
        <v>0</v>
      </c>
      <c r="BF79" s="433">
        <v>1533626.5</v>
      </c>
      <c r="BG79" s="434">
        <v>1376685</v>
      </c>
      <c r="BH79" s="434">
        <v>1854782.518879906</v>
      </c>
      <c r="BI79" s="433">
        <v>6203.2860163207561</v>
      </c>
      <c r="BJ79" s="433">
        <v>5967.0663508417501</v>
      </c>
      <c r="BK79" s="433">
        <v>3.9587236271586515E-2</v>
      </c>
      <c r="BL79" s="435">
        <v>-1.1885822774506139E-2</v>
      </c>
      <c r="BM79" s="433">
        <v>-21206.124445817408</v>
      </c>
      <c r="BN79" s="433">
        <v>1990517.8944340886</v>
      </c>
      <c r="BO79" s="434">
        <v>6643.0648643280556</v>
      </c>
      <c r="BP79" s="434" t="s">
        <v>768</v>
      </c>
      <c r="BQ79" s="434">
        <v>6657.2504830571525</v>
      </c>
      <c r="BR79" s="434">
        <v>2.5147324291807882E-2</v>
      </c>
      <c r="BS79" s="659">
        <v>0</v>
      </c>
      <c r="BT79" s="433">
        <v>1990517.8944340886</v>
      </c>
      <c r="BU79" s="433">
        <v>0</v>
      </c>
      <c r="BV79" s="433">
        <v>1990517.8944340886</v>
      </c>
      <c r="BW79" s="433">
        <v>4241.5</v>
      </c>
      <c r="BX79" s="665">
        <v>1986276.3944340886</v>
      </c>
      <c r="BY79" s="670"/>
      <c r="BZ79" s="380">
        <v>1986276.3944340886</v>
      </c>
      <c r="CA79" s="380">
        <f t="shared" si="2"/>
        <v>0</v>
      </c>
    </row>
    <row r="80" spans="1:79" ht="14.5" x14ac:dyDescent="0.35">
      <c r="A80" s="430">
        <v>146104</v>
      </c>
      <c r="B80" s="430">
        <v>8313542</v>
      </c>
      <c r="C80" s="431" t="s">
        <v>130</v>
      </c>
      <c r="D80" s="430">
        <v>375</v>
      </c>
      <c r="E80" s="432">
        <v>375</v>
      </c>
      <c r="F80" s="432">
        <v>0</v>
      </c>
      <c r="G80" s="432">
        <v>1524000</v>
      </c>
      <c r="H80" s="433">
        <v>0</v>
      </c>
      <c r="I80" s="433">
        <v>0</v>
      </c>
      <c r="J80" s="433">
        <v>41914.999999999935</v>
      </c>
      <c r="K80" s="433">
        <v>0</v>
      </c>
      <c r="L80" s="433">
        <v>102849.99999999969</v>
      </c>
      <c r="M80" s="433">
        <v>0</v>
      </c>
      <c r="N80" s="433">
        <v>5760</v>
      </c>
      <c r="O80" s="433">
        <v>33060</v>
      </c>
      <c r="P80" s="433">
        <v>20019.999999999942</v>
      </c>
      <c r="Q80" s="433">
        <v>25500.000000000004</v>
      </c>
      <c r="R80" s="433">
        <v>23850</v>
      </c>
      <c r="S80" s="433">
        <v>11199.999999999984</v>
      </c>
      <c r="T80" s="433">
        <v>0</v>
      </c>
      <c r="U80" s="433">
        <v>0</v>
      </c>
      <c r="V80" s="433">
        <v>0</v>
      </c>
      <c r="W80" s="433">
        <v>0</v>
      </c>
      <c r="X80" s="433">
        <v>0</v>
      </c>
      <c r="Y80" s="433">
        <v>0</v>
      </c>
      <c r="Z80" s="433">
        <v>102057.69230769228</v>
      </c>
      <c r="AA80" s="433">
        <v>0</v>
      </c>
      <c r="AB80" s="433">
        <v>137221.35309322967</v>
      </c>
      <c r="AC80" s="433">
        <v>0</v>
      </c>
      <c r="AD80" s="433">
        <v>492.49999999998931</v>
      </c>
      <c r="AE80" s="433">
        <v>0</v>
      </c>
      <c r="AF80" s="433">
        <v>152700</v>
      </c>
      <c r="AG80" s="433">
        <v>0</v>
      </c>
      <c r="AH80" s="433">
        <v>0</v>
      </c>
      <c r="AI80" s="433">
        <v>0</v>
      </c>
      <c r="AJ80" s="433">
        <v>7098</v>
      </c>
      <c r="AK80" s="433">
        <v>0</v>
      </c>
      <c r="AL80" s="433">
        <v>0</v>
      </c>
      <c r="AM80" s="433">
        <v>0</v>
      </c>
      <c r="AN80" s="433">
        <v>0</v>
      </c>
      <c r="AO80" s="433">
        <v>0</v>
      </c>
      <c r="AP80" s="433">
        <v>0</v>
      </c>
      <c r="AQ80" s="433">
        <v>0</v>
      </c>
      <c r="AR80" s="433">
        <v>0</v>
      </c>
      <c r="AS80" s="433">
        <v>1524000</v>
      </c>
      <c r="AT80" s="433">
        <v>503926.54540092149</v>
      </c>
      <c r="AU80" s="433">
        <v>159798</v>
      </c>
      <c r="AV80" s="433">
        <v>365731.77023459406</v>
      </c>
      <c r="AW80" s="433">
        <v>2187724.5454009213</v>
      </c>
      <c r="AX80" s="434">
        <v>2180626.5454009213</v>
      </c>
      <c r="AY80" s="434">
        <v>5115</v>
      </c>
      <c r="AZ80" s="434">
        <v>1918125</v>
      </c>
      <c r="BA80" s="434">
        <v>0</v>
      </c>
      <c r="BB80" s="434">
        <v>0</v>
      </c>
      <c r="BC80" s="434">
        <v>2187724.5454009213</v>
      </c>
      <c r="BD80" s="434">
        <v>2187724.5454009217</v>
      </c>
      <c r="BE80" s="433">
        <v>0</v>
      </c>
      <c r="BF80" s="433">
        <v>1925223</v>
      </c>
      <c r="BG80" s="434">
        <v>1765425</v>
      </c>
      <c r="BH80" s="434">
        <v>2027926.5454009213</v>
      </c>
      <c r="BI80" s="433">
        <v>5407.8041210691235</v>
      </c>
      <c r="BJ80" s="433">
        <v>5072.7827868766399</v>
      </c>
      <c r="BK80" s="433">
        <v>6.6042909438028485E-2</v>
      </c>
      <c r="BL80" s="435">
        <v>-2.9664035142355143E-2</v>
      </c>
      <c r="BM80" s="433">
        <v>-56429.702572291091</v>
      </c>
      <c r="BN80" s="433">
        <v>2131294.84282863</v>
      </c>
      <c r="BO80" s="434">
        <v>5664.52491420968</v>
      </c>
      <c r="BP80" s="434" t="s">
        <v>768</v>
      </c>
      <c r="BQ80" s="434">
        <v>5683.4529142096799</v>
      </c>
      <c r="BR80" s="434">
        <v>3.5041250713839567E-2</v>
      </c>
      <c r="BS80" s="659">
        <v>0</v>
      </c>
      <c r="BT80" s="433">
        <v>2131294.84282863</v>
      </c>
      <c r="BU80" s="433">
        <v>0</v>
      </c>
      <c r="BV80" s="433">
        <v>2131294.84282863</v>
      </c>
      <c r="BW80" s="433">
        <v>7098</v>
      </c>
      <c r="BX80" s="665">
        <v>2124196.84282863</v>
      </c>
      <c r="BY80" s="670"/>
      <c r="BZ80" s="380">
        <v>2124196.84282863</v>
      </c>
      <c r="CA80" s="380">
        <f t="shared" si="2"/>
        <v>0</v>
      </c>
    </row>
    <row r="81" spans="1:79" ht="14.5" x14ac:dyDescent="0.35">
      <c r="A81" s="430">
        <v>146253</v>
      </c>
      <c r="B81" s="430">
        <v>8313543</v>
      </c>
      <c r="C81" s="431" t="s">
        <v>131</v>
      </c>
      <c r="D81" s="430">
        <v>304</v>
      </c>
      <c r="E81" s="432">
        <v>304</v>
      </c>
      <c r="F81" s="432">
        <v>0</v>
      </c>
      <c r="G81" s="432">
        <v>1235456</v>
      </c>
      <c r="H81" s="433">
        <v>0</v>
      </c>
      <c r="I81" s="433">
        <v>0</v>
      </c>
      <c r="J81" s="433">
        <v>21209.999999999985</v>
      </c>
      <c r="K81" s="433">
        <v>0</v>
      </c>
      <c r="L81" s="433">
        <v>52029.99999999976</v>
      </c>
      <c r="M81" s="433">
        <v>0</v>
      </c>
      <c r="N81" s="433">
        <v>14159.999999999995</v>
      </c>
      <c r="O81" s="433">
        <v>10149.999999999964</v>
      </c>
      <c r="P81" s="433">
        <v>5004.9999999999882</v>
      </c>
      <c r="Q81" s="433">
        <v>2499.999999999995</v>
      </c>
      <c r="R81" s="433">
        <v>12719.999999999995</v>
      </c>
      <c r="S81" s="433">
        <v>10499.99999999998</v>
      </c>
      <c r="T81" s="433">
        <v>0</v>
      </c>
      <c r="U81" s="433">
        <v>0</v>
      </c>
      <c r="V81" s="433">
        <v>0</v>
      </c>
      <c r="W81" s="433">
        <v>0</v>
      </c>
      <c r="X81" s="433">
        <v>0</v>
      </c>
      <c r="Y81" s="433">
        <v>0</v>
      </c>
      <c r="Z81" s="433">
        <v>17830.769230769223</v>
      </c>
      <c r="AA81" s="433">
        <v>0</v>
      </c>
      <c r="AB81" s="433">
        <v>122356.38825865005</v>
      </c>
      <c r="AC81" s="433">
        <v>0</v>
      </c>
      <c r="AD81" s="433">
        <v>0</v>
      </c>
      <c r="AE81" s="433">
        <v>0</v>
      </c>
      <c r="AF81" s="433">
        <v>152700</v>
      </c>
      <c r="AG81" s="433">
        <v>0</v>
      </c>
      <c r="AH81" s="433">
        <v>0</v>
      </c>
      <c r="AI81" s="433">
        <v>0</v>
      </c>
      <c r="AJ81" s="433">
        <v>5842.2</v>
      </c>
      <c r="AK81" s="433">
        <v>0</v>
      </c>
      <c r="AL81" s="433">
        <v>0</v>
      </c>
      <c r="AM81" s="433">
        <v>0</v>
      </c>
      <c r="AN81" s="433">
        <v>0</v>
      </c>
      <c r="AO81" s="433">
        <v>0</v>
      </c>
      <c r="AP81" s="433">
        <v>0</v>
      </c>
      <c r="AQ81" s="433">
        <v>0</v>
      </c>
      <c r="AR81" s="433">
        <v>0</v>
      </c>
      <c r="AS81" s="433">
        <v>1235456</v>
      </c>
      <c r="AT81" s="433">
        <v>268462.15748941898</v>
      </c>
      <c r="AU81" s="433">
        <v>158542.20000000001</v>
      </c>
      <c r="AV81" s="433">
        <v>243743.50743809709</v>
      </c>
      <c r="AW81" s="433">
        <v>1662460.3574894189</v>
      </c>
      <c r="AX81" s="434">
        <v>1656618.157489419</v>
      </c>
      <c r="AY81" s="434">
        <v>5115</v>
      </c>
      <c r="AZ81" s="434">
        <v>1554960</v>
      </c>
      <c r="BA81" s="434">
        <v>0</v>
      </c>
      <c r="BB81" s="434">
        <v>0</v>
      </c>
      <c r="BC81" s="434">
        <v>1662460.3574894189</v>
      </c>
      <c r="BD81" s="434">
        <v>1662460.3574894189</v>
      </c>
      <c r="BE81" s="433">
        <v>0</v>
      </c>
      <c r="BF81" s="433">
        <v>1560802.2</v>
      </c>
      <c r="BG81" s="434">
        <v>1402260</v>
      </c>
      <c r="BH81" s="434">
        <v>1503918.157489419</v>
      </c>
      <c r="BI81" s="433">
        <v>4947.0992022678256</v>
      </c>
      <c r="BJ81" s="433">
        <v>4755.9155211920533</v>
      </c>
      <c r="BK81" s="433">
        <v>4.0199133105680719E-2</v>
      </c>
      <c r="BL81" s="435">
        <v>-1.2297017447017444E-2</v>
      </c>
      <c r="BM81" s="433">
        <v>-17779.00714675448</v>
      </c>
      <c r="BN81" s="433">
        <v>1644681.3503426644</v>
      </c>
      <c r="BO81" s="434">
        <v>5390.9182577061329</v>
      </c>
      <c r="BP81" s="434" t="s">
        <v>768</v>
      </c>
      <c r="BQ81" s="434">
        <v>5410.1360208640281</v>
      </c>
      <c r="BR81" s="434">
        <v>2.4708352686598989E-2</v>
      </c>
      <c r="BS81" s="659">
        <v>0</v>
      </c>
      <c r="BT81" s="433">
        <v>1644681.3503426644</v>
      </c>
      <c r="BU81" s="433">
        <v>0</v>
      </c>
      <c r="BV81" s="433">
        <v>1644681.3503426644</v>
      </c>
      <c r="BW81" s="433">
        <v>5842.2</v>
      </c>
      <c r="BX81" s="665">
        <v>1638839.1503426644</v>
      </c>
      <c r="BY81" s="670"/>
      <c r="BZ81" s="380">
        <v>1638839.1503426644</v>
      </c>
      <c r="CA81" s="380">
        <f t="shared" si="2"/>
        <v>0</v>
      </c>
    </row>
    <row r="82" spans="1:79" ht="14.5" x14ac:dyDescent="0.35">
      <c r="A82" s="430">
        <v>143875</v>
      </c>
      <c r="B82" s="430">
        <v>8313544</v>
      </c>
      <c r="C82" s="431" t="s">
        <v>132</v>
      </c>
      <c r="D82" s="430">
        <v>540</v>
      </c>
      <c r="E82" s="432">
        <v>540</v>
      </c>
      <c r="F82" s="432">
        <v>0</v>
      </c>
      <c r="G82" s="432">
        <v>2194560</v>
      </c>
      <c r="H82" s="433">
        <v>0</v>
      </c>
      <c r="I82" s="433">
        <v>0</v>
      </c>
      <c r="J82" s="433">
        <v>185334.99999999983</v>
      </c>
      <c r="K82" s="433">
        <v>0</v>
      </c>
      <c r="L82" s="433">
        <v>447699.99999999988</v>
      </c>
      <c r="M82" s="433">
        <v>0</v>
      </c>
      <c r="N82" s="433">
        <v>1679.9999999999918</v>
      </c>
      <c r="O82" s="433">
        <v>12179.999999999987</v>
      </c>
      <c r="P82" s="433">
        <v>106014.99999999988</v>
      </c>
      <c r="Q82" s="433">
        <v>110499.99999999993</v>
      </c>
      <c r="R82" s="433">
        <v>2649.9999999999973</v>
      </c>
      <c r="S82" s="433">
        <v>5599.9999999999945</v>
      </c>
      <c r="T82" s="433">
        <v>0</v>
      </c>
      <c r="U82" s="433">
        <v>0</v>
      </c>
      <c r="V82" s="433">
        <v>0</v>
      </c>
      <c r="W82" s="433">
        <v>0</v>
      </c>
      <c r="X82" s="433">
        <v>0</v>
      </c>
      <c r="Y82" s="433">
        <v>0</v>
      </c>
      <c r="Z82" s="433">
        <v>143426.24999999977</v>
      </c>
      <c r="AA82" s="433">
        <v>0</v>
      </c>
      <c r="AB82" s="433">
        <v>323646.04682809993</v>
      </c>
      <c r="AC82" s="433">
        <v>0</v>
      </c>
      <c r="AD82" s="433">
        <v>0</v>
      </c>
      <c r="AE82" s="433">
        <v>0</v>
      </c>
      <c r="AF82" s="433">
        <v>152700</v>
      </c>
      <c r="AG82" s="433">
        <v>0</v>
      </c>
      <c r="AH82" s="433">
        <v>0</v>
      </c>
      <c r="AI82" s="433">
        <v>0</v>
      </c>
      <c r="AJ82" s="433">
        <v>16489.2</v>
      </c>
      <c r="AK82" s="433">
        <v>194808</v>
      </c>
      <c r="AL82" s="433">
        <v>0</v>
      </c>
      <c r="AM82" s="433">
        <v>0</v>
      </c>
      <c r="AN82" s="433">
        <v>0</v>
      </c>
      <c r="AO82" s="433">
        <v>0</v>
      </c>
      <c r="AP82" s="433">
        <v>0</v>
      </c>
      <c r="AQ82" s="433">
        <v>0</v>
      </c>
      <c r="AR82" s="433">
        <v>0</v>
      </c>
      <c r="AS82" s="433">
        <v>2194560</v>
      </c>
      <c r="AT82" s="433">
        <v>1338732.2968280993</v>
      </c>
      <c r="AU82" s="433">
        <v>363997.2</v>
      </c>
      <c r="AV82" s="433">
        <v>742134.79463190492</v>
      </c>
      <c r="AW82" s="433">
        <v>3897289.4968280997</v>
      </c>
      <c r="AX82" s="434">
        <v>3685992.2968280995</v>
      </c>
      <c r="AY82" s="434">
        <v>5115</v>
      </c>
      <c r="AZ82" s="434">
        <v>2762100</v>
      </c>
      <c r="BA82" s="434">
        <v>0</v>
      </c>
      <c r="BB82" s="434">
        <v>0</v>
      </c>
      <c r="BC82" s="434">
        <v>3897289.4968280997</v>
      </c>
      <c r="BD82" s="434">
        <v>3897289.4968281002</v>
      </c>
      <c r="BE82" s="433">
        <v>0</v>
      </c>
      <c r="BF82" s="433">
        <v>2973397.2</v>
      </c>
      <c r="BG82" s="434">
        <v>2609400</v>
      </c>
      <c r="BH82" s="434">
        <v>3533292.2968280995</v>
      </c>
      <c r="BI82" s="433">
        <v>6543.1338830149989</v>
      </c>
      <c r="BJ82" s="433">
        <v>6146.446082089552</v>
      </c>
      <c r="BK82" s="433">
        <v>6.4539377003790227E-2</v>
      </c>
      <c r="BL82" s="435">
        <v>-2.8653661346547031E-2</v>
      </c>
      <c r="BM82" s="433">
        <v>-95103.819641342605</v>
      </c>
      <c r="BN82" s="433">
        <v>3802185.6771867573</v>
      </c>
      <c r="BO82" s="434">
        <v>6649.7934762717723</v>
      </c>
      <c r="BP82" s="434" t="s">
        <v>768</v>
      </c>
      <c r="BQ82" s="434">
        <v>7041.0845873828839</v>
      </c>
      <c r="BR82" s="434">
        <v>3.2236345130845168E-2</v>
      </c>
      <c r="BS82" s="659">
        <v>0</v>
      </c>
      <c r="BT82" s="433">
        <v>3802185.6771867573</v>
      </c>
      <c r="BU82" s="433">
        <v>0</v>
      </c>
      <c r="BV82" s="433">
        <v>3802185.6771867573</v>
      </c>
      <c r="BW82" s="433">
        <v>16489.2</v>
      </c>
      <c r="BX82" s="665">
        <v>3785696.4771867571</v>
      </c>
      <c r="BY82" s="670"/>
      <c r="BZ82" s="380">
        <v>3785696.4771867571</v>
      </c>
      <c r="CA82" s="380">
        <f t="shared" si="2"/>
        <v>0</v>
      </c>
    </row>
    <row r="83" spans="1:79" ht="14.5" x14ac:dyDescent="0.35">
      <c r="A83" s="430">
        <v>145760</v>
      </c>
      <c r="B83" s="430">
        <v>8313546</v>
      </c>
      <c r="C83" s="431" t="s">
        <v>133</v>
      </c>
      <c r="D83" s="430">
        <v>620</v>
      </c>
      <c r="E83" s="432">
        <v>620</v>
      </c>
      <c r="F83" s="432">
        <v>0</v>
      </c>
      <c r="G83" s="432">
        <v>2519680</v>
      </c>
      <c r="H83" s="433">
        <v>0</v>
      </c>
      <c r="I83" s="433">
        <v>0</v>
      </c>
      <c r="J83" s="433">
        <v>196949.99999999997</v>
      </c>
      <c r="K83" s="433">
        <v>0</v>
      </c>
      <c r="L83" s="433">
        <v>474319.99999999994</v>
      </c>
      <c r="M83" s="433">
        <v>0</v>
      </c>
      <c r="N83" s="433">
        <v>1679.9999999999909</v>
      </c>
      <c r="O83" s="433">
        <v>42049.999999999913</v>
      </c>
      <c r="P83" s="433">
        <v>67339.999999999767</v>
      </c>
      <c r="Q83" s="433">
        <v>11999.999999999987</v>
      </c>
      <c r="R83" s="433">
        <v>80559.999999999796</v>
      </c>
      <c r="S83" s="433">
        <v>9799.9999999999909</v>
      </c>
      <c r="T83" s="433">
        <v>0</v>
      </c>
      <c r="U83" s="433">
        <v>0</v>
      </c>
      <c r="V83" s="433">
        <v>0</v>
      </c>
      <c r="W83" s="433">
        <v>0</v>
      </c>
      <c r="X83" s="433">
        <v>0</v>
      </c>
      <c r="Y83" s="433">
        <v>0</v>
      </c>
      <c r="Z83" s="433">
        <v>143406.69144981413</v>
      </c>
      <c r="AA83" s="433">
        <v>0</v>
      </c>
      <c r="AB83" s="433">
        <v>313427.7457437265</v>
      </c>
      <c r="AC83" s="433">
        <v>0</v>
      </c>
      <c r="AD83" s="433">
        <v>6697.99999999996</v>
      </c>
      <c r="AE83" s="433">
        <v>0</v>
      </c>
      <c r="AF83" s="433">
        <v>152700</v>
      </c>
      <c r="AG83" s="433">
        <v>0</v>
      </c>
      <c r="AH83" s="433">
        <v>0</v>
      </c>
      <c r="AI83" s="433">
        <v>0</v>
      </c>
      <c r="AJ83" s="433">
        <v>20529.599999999999</v>
      </c>
      <c r="AK83" s="433">
        <v>0</v>
      </c>
      <c r="AL83" s="433">
        <v>0</v>
      </c>
      <c r="AM83" s="433">
        <v>0</v>
      </c>
      <c r="AN83" s="433">
        <v>0</v>
      </c>
      <c r="AO83" s="433">
        <v>0</v>
      </c>
      <c r="AP83" s="433">
        <v>0</v>
      </c>
      <c r="AQ83" s="433">
        <v>0</v>
      </c>
      <c r="AR83" s="433">
        <v>0</v>
      </c>
      <c r="AS83" s="433">
        <v>2519680</v>
      </c>
      <c r="AT83" s="433">
        <v>1348232.4371935399</v>
      </c>
      <c r="AU83" s="433">
        <v>173229.6</v>
      </c>
      <c r="AV83" s="433">
        <v>788834.01030031382</v>
      </c>
      <c r="AW83" s="433">
        <v>4041142.03719354</v>
      </c>
      <c r="AX83" s="434">
        <v>4020612.4371935399</v>
      </c>
      <c r="AY83" s="434">
        <v>5115</v>
      </c>
      <c r="AZ83" s="434">
        <v>3171300</v>
      </c>
      <c r="BA83" s="434">
        <v>0</v>
      </c>
      <c r="BB83" s="434">
        <v>0</v>
      </c>
      <c r="BC83" s="434">
        <v>4041142.03719354</v>
      </c>
      <c r="BD83" s="434">
        <v>4041142.0371935405</v>
      </c>
      <c r="BE83" s="433">
        <v>0</v>
      </c>
      <c r="BF83" s="433">
        <v>3191829.6</v>
      </c>
      <c r="BG83" s="434">
        <v>3018600</v>
      </c>
      <c r="BH83" s="434">
        <v>3867912.4371935399</v>
      </c>
      <c r="BI83" s="433">
        <v>6238.5684470863544</v>
      </c>
      <c r="BJ83" s="433">
        <v>5889.247574634147</v>
      </c>
      <c r="BK83" s="433">
        <v>5.9315025905309807E-2</v>
      </c>
      <c r="BL83" s="435">
        <v>-2.5142897408368191E-2</v>
      </c>
      <c r="BM83" s="433">
        <v>-91805.103500534678</v>
      </c>
      <c r="BN83" s="433">
        <v>3949336.9336930052</v>
      </c>
      <c r="BO83" s="434">
        <v>6336.7860220854918</v>
      </c>
      <c r="BP83" s="434" t="s">
        <v>768</v>
      </c>
      <c r="BQ83" s="434">
        <v>6369.8982801500088</v>
      </c>
      <c r="BR83" s="434">
        <v>3.2592107377925617E-2</v>
      </c>
      <c r="BS83" s="659">
        <v>0</v>
      </c>
      <c r="BT83" s="433">
        <v>3949336.9336930052</v>
      </c>
      <c r="BU83" s="433">
        <v>0</v>
      </c>
      <c r="BV83" s="433">
        <v>3949336.9336930052</v>
      </c>
      <c r="BW83" s="433">
        <v>20529.599999999999</v>
      </c>
      <c r="BX83" s="665">
        <v>3928807.3336930051</v>
      </c>
      <c r="BY83" s="670"/>
      <c r="BZ83" s="380">
        <v>3928807.3336930051</v>
      </c>
      <c r="CA83" s="380">
        <f t="shared" si="2"/>
        <v>0</v>
      </c>
    </row>
    <row r="84" spans="1:79" ht="14.5" x14ac:dyDescent="0.35">
      <c r="A84" s="430">
        <v>138776</v>
      </c>
      <c r="B84" s="430">
        <v>8314000</v>
      </c>
      <c r="C84" s="431" t="s">
        <v>134</v>
      </c>
      <c r="D84" s="430">
        <v>418</v>
      </c>
      <c r="E84" s="432">
        <v>418</v>
      </c>
      <c r="F84" s="432">
        <v>0</v>
      </c>
      <c r="G84" s="432">
        <v>1698752</v>
      </c>
      <c r="H84" s="433">
        <v>0</v>
      </c>
      <c r="I84" s="433">
        <v>0</v>
      </c>
      <c r="J84" s="433">
        <v>127259.99999999996</v>
      </c>
      <c r="K84" s="433">
        <v>0</v>
      </c>
      <c r="L84" s="433">
        <v>304919.99999999988</v>
      </c>
      <c r="M84" s="433">
        <v>0</v>
      </c>
      <c r="N84" s="433">
        <v>9427.6626506024077</v>
      </c>
      <c r="O84" s="433">
        <v>18986.265060240919</v>
      </c>
      <c r="P84" s="433">
        <v>40787.734939758993</v>
      </c>
      <c r="Q84" s="433">
        <v>32734.939759036068</v>
      </c>
      <c r="R84" s="433">
        <v>24022.409638554207</v>
      </c>
      <c r="S84" s="433">
        <v>21856.867469879518</v>
      </c>
      <c r="T84" s="433">
        <v>0</v>
      </c>
      <c r="U84" s="433">
        <v>0</v>
      </c>
      <c r="V84" s="433">
        <v>0</v>
      </c>
      <c r="W84" s="433">
        <v>0</v>
      </c>
      <c r="X84" s="433">
        <v>0</v>
      </c>
      <c r="Y84" s="433">
        <v>0</v>
      </c>
      <c r="Z84" s="433">
        <v>112533.07262569832</v>
      </c>
      <c r="AA84" s="433">
        <v>0</v>
      </c>
      <c r="AB84" s="433">
        <v>152498.07528601168</v>
      </c>
      <c r="AC84" s="433">
        <v>0</v>
      </c>
      <c r="AD84" s="433">
        <v>5904.4254196642505</v>
      </c>
      <c r="AE84" s="433">
        <v>0</v>
      </c>
      <c r="AF84" s="433">
        <v>152700</v>
      </c>
      <c r="AG84" s="433">
        <v>0</v>
      </c>
      <c r="AH84" s="433">
        <v>0</v>
      </c>
      <c r="AI84" s="433">
        <v>0</v>
      </c>
      <c r="AJ84" s="433">
        <v>13213.2</v>
      </c>
      <c r="AK84" s="433">
        <v>0</v>
      </c>
      <c r="AL84" s="433">
        <v>0</v>
      </c>
      <c r="AM84" s="433">
        <v>0</v>
      </c>
      <c r="AN84" s="433">
        <v>0</v>
      </c>
      <c r="AO84" s="433">
        <v>0</v>
      </c>
      <c r="AP84" s="433">
        <v>0</v>
      </c>
      <c r="AQ84" s="433">
        <v>0</v>
      </c>
      <c r="AR84" s="433">
        <v>0</v>
      </c>
      <c r="AS84" s="433">
        <v>1698752</v>
      </c>
      <c r="AT84" s="433">
        <v>850931.45284944621</v>
      </c>
      <c r="AU84" s="433">
        <v>165913.20000000001</v>
      </c>
      <c r="AV84" s="433">
        <v>513028.28007469594</v>
      </c>
      <c r="AW84" s="433">
        <v>2715596.6528494465</v>
      </c>
      <c r="AX84" s="434">
        <v>2702383.4528494463</v>
      </c>
      <c r="AY84" s="434">
        <v>5115</v>
      </c>
      <c r="AZ84" s="434">
        <v>2138070</v>
      </c>
      <c r="BA84" s="434">
        <v>0</v>
      </c>
      <c r="BB84" s="434">
        <v>0</v>
      </c>
      <c r="BC84" s="434">
        <v>2715596.6528494465</v>
      </c>
      <c r="BD84" s="434">
        <v>2715596.652849447</v>
      </c>
      <c r="BE84" s="433">
        <v>0</v>
      </c>
      <c r="BF84" s="433">
        <v>2151283.2000000002</v>
      </c>
      <c r="BG84" s="434">
        <v>1985370.0000000002</v>
      </c>
      <c r="BH84" s="434">
        <v>2549683.4528494463</v>
      </c>
      <c r="BI84" s="433">
        <v>6099.7211790656611</v>
      </c>
      <c r="BJ84" s="433">
        <v>5697.647921615202</v>
      </c>
      <c r="BK84" s="433">
        <v>7.0568287648155884E-2</v>
      </c>
      <c r="BL84" s="435">
        <v>-3.2705089299560751E-2</v>
      </c>
      <c r="BM84" s="433">
        <v>-77890.991142882631</v>
      </c>
      <c r="BN84" s="433">
        <v>2637705.661706564</v>
      </c>
      <c r="BO84" s="434">
        <v>6278.6900997764687</v>
      </c>
      <c r="BP84" s="434" t="s">
        <v>768</v>
      </c>
      <c r="BQ84" s="434">
        <v>6310.3006260922584</v>
      </c>
      <c r="BR84" s="434">
        <v>3.6210623579152612E-2</v>
      </c>
      <c r="BS84" s="659">
        <v>0</v>
      </c>
      <c r="BT84" s="433">
        <v>2637705.661706564</v>
      </c>
      <c r="BU84" s="433">
        <v>0</v>
      </c>
      <c r="BV84" s="433">
        <v>2637705.661706564</v>
      </c>
      <c r="BW84" s="433">
        <v>13213.2</v>
      </c>
      <c r="BX84" s="665">
        <v>2624492.4617065638</v>
      </c>
      <c r="BY84" s="670"/>
      <c r="BZ84" s="380">
        <v>2624492.4617065638</v>
      </c>
      <c r="CA84" s="380">
        <f t="shared" si="2"/>
        <v>0</v>
      </c>
    </row>
    <row r="85" spans="1:79" ht="14.5" x14ac:dyDescent="0.35">
      <c r="A85" s="430">
        <v>146847</v>
      </c>
      <c r="B85" s="430">
        <v>8315201</v>
      </c>
      <c r="C85" s="431" t="s">
        <v>135</v>
      </c>
      <c r="D85" s="430">
        <v>260</v>
      </c>
      <c r="E85" s="432">
        <v>260</v>
      </c>
      <c r="F85" s="432">
        <v>0</v>
      </c>
      <c r="G85" s="432">
        <v>1056640</v>
      </c>
      <c r="H85" s="433">
        <v>0</v>
      </c>
      <c r="I85" s="433">
        <v>0</v>
      </c>
      <c r="J85" s="433">
        <v>40904.999999999927</v>
      </c>
      <c r="K85" s="433">
        <v>0</v>
      </c>
      <c r="L85" s="433">
        <v>98009.999999999825</v>
      </c>
      <c r="M85" s="433">
        <v>0</v>
      </c>
      <c r="N85" s="433">
        <v>5279.9999999999991</v>
      </c>
      <c r="O85" s="433">
        <v>7540</v>
      </c>
      <c r="P85" s="433">
        <v>909.99999999999966</v>
      </c>
      <c r="Q85" s="433">
        <v>17999.999999999938</v>
      </c>
      <c r="R85" s="433">
        <v>1059.9999999999995</v>
      </c>
      <c r="S85" s="433">
        <v>2099.9999999999927</v>
      </c>
      <c r="T85" s="433">
        <v>0</v>
      </c>
      <c r="U85" s="433">
        <v>0</v>
      </c>
      <c r="V85" s="433">
        <v>0</v>
      </c>
      <c r="W85" s="433">
        <v>0</v>
      </c>
      <c r="X85" s="433">
        <v>0</v>
      </c>
      <c r="Y85" s="433">
        <v>0</v>
      </c>
      <c r="Z85" s="433">
        <v>11522.222222222214</v>
      </c>
      <c r="AA85" s="433">
        <v>0</v>
      </c>
      <c r="AB85" s="433">
        <v>93109.886439047405</v>
      </c>
      <c r="AC85" s="433">
        <v>0</v>
      </c>
      <c r="AD85" s="433">
        <v>5318.9999999999836</v>
      </c>
      <c r="AE85" s="433">
        <v>0</v>
      </c>
      <c r="AF85" s="433">
        <v>152700</v>
      </c>
      <c r="AG85" s="433">
        <v>0</v>
      </c>
      <c r="AH85" s="433">
        <v>0</v>
      </c>
      <c r="AI85" s="433">
        <v>0</v>
      </c>
      <c r="AJ85" s="433">
        <v>6412.15</v>
      </c>
      <c r="AK85" s="433">
        <v>0</v>
      </c>
      <c r="AL85" s="433">
        <v>0</v>
      </c>
      <c r="AM85" s="433">
        <v>0</v>
      </c>
      <c r="AN85" s="433">
        <v>0</v>
      </c>
      <c r="AO85" s="433">
        <v>0</v>
      </c>
      <c r="AP85" s="433">
        <v>0</v>
      </c>
      <c r="AQ85" s="433">
        <v>0</v>
      </c>
      <c r="AR85" s="433">
        <v>0</v>
      </c>
      <c r="AS85" s="433">
        <v>1056640</v>
      </c>
      <c r="AT85" s="433">
        <v>283756.1086612693</v>
      </c>
      <c r="AU85" s="433">
        <v>159112.15</v>
      </c>
      <c r="AV85" s="433">
        <v>230817.94746976407</v>
      </c>
      <c r="AW85" s="433">
        <v>1499508.2586612692</v>
      </c>
      <c r="AX85" s="434">
        <v>1493096.1086612693</v>
      </c>
      <c r="AY85" s="434">
        <v>5115</v>
      </c>
      <c r="AZ85" s="434">
        <v>1329900</v>
      </c>
      <c r="BA85" s="434">
        <v>0</v>
      </c>
      <c r="BB85" s="434">
        <v>0</v>
      </c>
      <c r="BC85" s="434">
        <v>1499508.2586612692</v>
      </c>
      <c r="BD85" s="434">
        <v>1499508.2586612692</v>
      </c>
      <c r="BE85" s="433">
        <v>0</v>
      </c>
      <c r="BF85" s="433">
        <v>1336312.1499999999</v>
      </c>
      <c r="BG85" s="434">
        <v>1177200</v>
      </c>
      <c r="BH85" s="434">
        <v>1340396.1086612693</v>
      </c>
      <c r="BI85" s="433">
        <v>5155.3696486971894</v>
      </c>
      <c r="BJ85" s="433">
        <v>4832.3745665413535</v>
      </c>
      <c r="BK85" s="433">
        <v>6.6839827440572611E-2</v>
      </c>
      <c r="BL85" s="435">
        <v>-3.0199564040064793E-2</v>
      </c>
      <c r="BM85" s="433">
        <v>-37943.25734883995</v>
      </c>
      <c r="BN85" s="433">
        <v>1461565.0013124293</v>
      </c>
      <c r="BO85" s="434">
        <v>5596.741735817036</v>
      </c>
      <c r="BP85" s="434" t="s">
        <v>768</v>
      </c>
      <c r="BQ85" s="434">
        <v>5621.4038512016514</v>
      </c>
      <c r="BR85" s="434">
        <v>3.5026730639911241E-2</v>
      </c>
      <c r="BS85" s="659">
        <v>0</v>
      </c>
      <c r="BT85" s="433">
        <v>1461565.0013124293</v>
      </c>
      <c r="BU85" s="433">
        <v>0</v>
      </c>
      <c r="BV85" s="433">
        <v>1461565.0013124293</v>
      </c>
      <c r="BW85" s="433">
        <v>6412.15</v>
      </c>
      <c r="BX85" s="665">
        <v>1455152.8513124294</v>
      </c>
      <c r="BY85" s="670"/>
      <c r="BZ85" s="380">
        <v>1455152.8513124294</v>
      </c>
      <c r="CA85" s="380">
        <f t="shared" si="2"/>
        <v>0</v>
      </c>
    </row>
    <row r="86" spans="1:79" ht="14.5" x14ac:dyDescent="0.35">
      <c r="A86" s="430">
        <v>146500</v>
      </c>
      <c r="B86" s="430">
        <v>8315203</v>
      </c>
      <c r="C86" s="431" t="s">
        <v>136</v>
      </c>
      <c r="D86" s="430">
        <v>415</v>
      </c>
      <c r="E86" s="432">
        <v>415</v>
      </c>
      <c r="F86" s="432">
        <v>0</v>
      </c>
      <c r="G86" s="432">
        <v>1686560</v>
      </c>
      <c r="H86" s="433">
        <v>0</v>
      </c>
      <c r="I86" s="433">
        <v>0</v>
      </c>
      <c r="J86" s="433">
        <v>60599.999999999971</v>
      </c>
      <c r="K86" s="433">
        <v>0</v>
      </c>
      <c r="L86" s="433">
        <v>151249.9999999998</v>
      </c>
      <c r="M86" s="433">
        <v>0</v>
      </c>
      <c r="N86" s="433">
        <v>14228.571428571342</v>
      </c>
      <c r="O86" s="433">
        <v>1165.617433414043</v>
      </c>
      <c r="P86" s="433">
        <v>1828.8135593220331</v>
      </c>
      <c r="Q86" s="433">
        <v>1004.8426150121051</v>
      </c>
      <c r="R86" s="433">
        <v>3727.9661016948976</v>
      </c>
      <c r="S86" s="433">
        <v>3516.9491525423605</v>
      </c>
      <c r="T86" s="433">
        <v>0</v>
      </c>
      <c r="U86" s="433">
        <v>0</v>
      </c>
      <c r="V86" s="433">
        <v>0</v>
      </c>
      <c r="W86" s="433">
        <v>0</v>
      </c>
      <c r="X86" s="433">
        <v>0</v>
      </c>
      <c r="Y86" s="433">
        <v>0</v>
      </c>
      <c r="Z86" s="433">
        <v>17689.999999999985</v>
      </c>
      <c r="AA86" s="433">
        <v>0</v>
      </c>
      <c r="AB86" s="433">
        <v>153420.58924257272</v>
      </c>
      <c r="AC86" s="433">
        <v>0</v>
      </c>
      <c r="AD86" s="433">
        <v>0</v>
      </c>
      <c r="AE86" s="433">
        <v>0</v>
      </c>
      <c r="AF86" s="433">
        <v>152700</v>
      </c>
      <c r="AG86" s="433">
        <v>0</v>
      </c>
      <c r="AH86" s="433">
        <v>0</v>
      </c>
      <c r="AI86" s="433">
        <v>0</v>
      </c>
      <c r="AJ86" s="433">
        <v>9336.6</v>
      </c>
      <c r="AK86" s="433">
        <v>0</v>
      </c>
      <c r="AL86" s="433">
        <v>0</v>
      </c>
      <c r="AM86" s="433">
        <v>0</v>
      </c>
      <c r="AN86" s="433">
        <v>0</v>
      </c>
      <c r="AO86" s="433">
        <v>0</v>
      </c>
      <c r="AP86" s="433">
        <v>0</v>
      </c>
      <c r="AQ86" s="433">
        <v>0</v>
      </c>
      <c r="AR86" s="433">
        <v>0</v>
      </c>
      <c r="AS86" s="433">
        <v>1686560</v>
      </c>
      <c r="AT86" s="433">
        <v>408433.34953312925</v>
      </c>
      <c r="AU86" s="433">
        <v>162036.6</v>
      </c>
      <c r="AV86" s="433">
        <v>347209.07571042806</v>
      </c>
      <c r="AW86" s="433">
        <v>2257029.9495331291</v>
      </c>
      <c r="AX86" s="434">
        <v>2247693.349533129</v>
      </c>
      <c r="AY86" s="434">
        <v>5115</v>
      </c>
      <c r="AZ86" s="434">
        <v>2122725</v>
      </c>
      <c r="BA86" s="434">
        <v>0</v>
      </c>
      <c r="BB86" s="434">
        <v>0</v>
      </c>
      <c r="BC86" s="434">
        <v>2257029.9495331291</v>
      </c>
      <c r="BD86" s="434">
        <v>2257029.9495331291</v>
      </c>
      <c r="BE86" s="433">
        <v>0</v>
      </c>
      <c r="BF86" s="433">
        <v>2132061.6</v>
      </c>
      <c r="BG86" s="434">
        <v>1970025</v>
      </c>
      <c r="BH86" s="434">
        <v>2094993.349533129</v>
      </c>
      <c r="BI86" s="433">
        <v>5048.1767458629611</v>
      </c>
      <c r="BJ86" s="433">
        <v>4823.9463789823012</v>
      </c>
      <c r="BK86" s="433">
        <v>4.6482765201873021E-2</v>
      </c>
      <c r="BL86" s="435">
        <v>-1.6519618215658671E-2</v>
      </c>
      <c r="BM86" s="433">
        <v>-33071.247276542636</v>
      </c>
      <c r="BN86" s="433">
        <v>2223958.7022565864</v>
      </c>
      <c r="BO86" s="434">
        <v>5336.4388006182799</v>
      </c>
      <c r="BP86" s="434" t="s">
        <v>768</v>
      </c>
      <c r="BQ86" s="434">
        <v>5358.9366319435821</v>
      </c>
      <c r="BR86" s="434">
        <v>3.4970864997988516E-2</v>
      </c>
      <c r="BS86" s="659">
        <v>0</v>
      </c>
      <c r="BT86" s="433">
        <v>2223958.7022565864</v>
      </c>
      <c r="BU86" s="433">
        <v>0</v>
      </c>
      <c r="BV86" s="433">
        <v>2223958.7022565864</v>
      </c>
      <c r="BW86" s="433">
        <v>9336.6</v>
      </c>
      <c r="BX86" s="665">
        <v>2214622.1022565863</v>
      </c>
      <c r="BY86" s="670"/>
      <c r="BZ86" s="380">
        <v>2214622.1022565863</v>
      </c>
      <c r="CA86" s="380">
        <f t="shared" si="2"/>
        <v>0</v>
      </c>
    </row>
    <row r="87" spans="1:79" ht="14.5" x14ac:dyDescent="0.35">
      <c r="A87" s="430">
        <v>143734</v>
      </c>
      <c r="B87" s="430">
        <v>8314004</v>
      </c>
      <c r="C87" s="431" t="s">
        <v>137</v>
      </c>
      <c r="D87" s="430">
        <v>904</v>
      </c>
      <c r="E87" s="432">
        <v>0</v>
      </c>
      <c r="F87" s="432">
        <v>904</v>
      </c>
      <c r="G87" s="432">
        <v>0</v>
      </c>
      <c r="H87" s="433">
        <v>3093184</v>
      </c>
      <c r="I87" s="433">
        <v>2307600</v>
      </c>
      <c r="J87" s="433">
        <v>0</v>
      </c>
      <c r="K87" s="433">
        <v>256034.99999999962</v>
      </c>
      <c r="L87" s="433">
        <v>0</v>
      </c>
      <c r="M87" s="433">
        <v>910800</v>
      </c>
      <c r="N87" s="433">
        <v>0</v>
      </c>
      <c r="O87" s="433">
        <v>0</v>
      </c>
      <c r="P87" s="433">
        <v>0</v>
      </c>
      <c r="Q87" s="433">
        <v>0</v>
      </c>
      <c r="R87" s="433">
        <v>0</v>
      </c>
      <c r="S87" s="433">
        <v>0</v>
      </c>
      <c r="T87" s="433">
        <v>38725.676274944301</v>
      </c>
      <c r="U87" s="433">
        <v>106034.58980044311</v>
      </c>
      <c r="V87" s="433">
        <v>70355.654101995344</v>
      </c>
      <c r="W87" s="433">
        <v>97485.676274944271</v>
      </c>
      <c r="X87" s="433">
        <v>90640.532150775427</v>
      </c>
      <c r="Y87" s="433">
        <v>92354.323725055292</v>
      </c>
      <c r="Z87" s="433">
        <v>0</v>
      </c>
      <c r="AA87" s="433">
        <v>133659.99999999997</v>
      </c>
      <c r="AB87" s="433">
        <v>0</v>
      </c>
      <c r="AC87" s="433">
        <v>508380.8017937527</v>
      </c>
      <c r="AD87" s="433">
        <v>0</v>
      </c>
      <c r="AE87" s="433">
        <v>0</v>
      </c>
      <c r="AF87" s="433">
        <v>152700</v>
      </c>
      <c r="AG87" s="433">
        <v>0</v>
      </c>
      <c r="AH87" s="433">
        <v>0</v>
      </c>
      <c r="AI87" s="433">
        <v>0</v>
      </c>
      <c r="AJ87" s="433">
        <v>45045</v>
      </c>
      <c r="AK87" s="433">
        <v>0</v>
      </c>
      <c r="AL87" s="433">
        <v>0</v>
      </c>
      <c r="AM87" s="433">
        <v>0</v>
      </c>
      <c r="AN87" s="433">
        <v>0</v>
      </c>
      <c r="AO87" s="433">
        <v>0</v>
      </c>
      <c r="AP87" s="433">
        <v>0</v>
      </c>
      <c r="AQ87" s="433">
        <v>0</v>
      </c>
      <c r="AR87" s="433">
        <v>0</v>
      </c>
      <c r="AS87" s="433">
        <v>5400784</v>
      </c>
      <c r="AT87" s="433">
        <v>2304472.2541219098</v>
      </c>
      <c r="AU87" s="433">
        <v>197745</v>
      </c>
      <c r="AV87" s="433">
        <v>1317926.8775779735</v>
      </c>
      <c r="AW87" s="433">
        <v>7903001.2541219098</v>
      </c>
      <c r="AX87" s="434">
        <v>7857956.2541219098</v>
      </c>
      <c r="AY87" s="434">
        <v>6640</v>
      </c>
      <c r="AZ87" s="434">
        <v>6002560</v>
      </c>
      <c r="BA87" s="434">
        <v>0</v>
      </c>
      <c r="BB87" s="434">
        <v>0</v>
      </c>
      <c r="BC87" s="434">
        <v>7903001.2541219098</v>
      </c>
      <c r="BD87" s="434">
        <v>0</v>
      </c>
      <c r="BE87" s="433">
        <v>7903001.2541219108</v>
      </c>
      <c r="BF87" s="433">
        <v>6047605</v>
      </c>
      <c r="BG87" s="434">
        <v>5849860</v>
      </c>
      <c r="BH87" s="434">
        <v>7705256.2541219098</v>
      </c>
      <c r="BI87" s="433">
        <v>8523.5135554445897</v>
      </c>
      <c r="BJ87" s="433">
        <v>7830.0072555309735</v>
      </c>
      <c r="BK87" s="433">
        <v>8.8570326601388027E-2</v>
      </c>
      <c r="BL87" s="435">
        <v>-4.4802459476132754E-2</v>
      </c>
      <c r="BM87" s="433">
        <v>-317126.43881843169</v>
      </c>
      <c r="BN87" s="433">
        <v>7585874.8153034784</v>
      </c>
      <c r="BO87" s="434">
        <v>8341.6259018843793</v>
      </c>
      <c r="BP87" s="434" t="s">
        <v>768</v>
      </c>
      <c r="BQ87" s="434">
        <v>8391.4544417073885</v>
      </c>
      <c r="BR87" s="434">
        <v>4.2980448161446194E-2</v>
      </c>
      <c r="BS87" s="659">
        <v>0</v>
      </c>
      <c r="BT87" s="433">
        <v>7585874.8153034784</v>
      </c>
      <c r="BU87" s="433">
        <v>0</v>
      </c>
      <c r="BV87" s="433">
        <v>7585874.8153034784</v>
      </c>
      <c r="BW87" s="433">
        <v>45045</v>
      </c>
      <c r="BX87" s="665">
        <v>7540829.8153034784</v>
      </c>
      <c r="BY87" s="670"/>
      <c r="BZ87" s="380">
        <v>7540829.8153034784</v>
      </c>
      <c r="CA87" s="380">
        <f t="shared" si="2"/>
        <v>0</v>
      </c>
    </row>
    <row r="88" spans="1:79" ht="14.5" x14ac:dyDescent="0.35">
      <c r="A88" s="430">
        <v>143853</v>
      </c>
      <c r="B88" s="430">
        <v>8314005</v>
      </c>
      <c r="C88" s="431" t="s">
        <v>138</v>
      </c>
      <c r="D88" s="430">
        <v>1242</v>
      </c>
      <c r="E88" s="432">
        <v>0</v>
      </c>
      <c r="F88" s="432">
        <v>1242</v>
      </c>
      <c r="G88" s="432">
        <v>0</v>
      </c>
      <c r="H88" s="433">
        <v>4457824</v>
      </c>
      <c r="I88" s="433">
        <v>2935780</v>
      </c>
      <c r="J88" s="433">
        <v>0</v>
      </c>
      <c r="K88" s="433">
        <v>281789.99999999965</v>
      </c>
      <c r="L88" s="433">
        <v>0</v>
      </c>
      <c r="M88" s="433">
        <v>1047074.9999999986</v>
      </c>
      <c r="N88" s="433">
        <v>0</v>
      </c>
      <c r="O88" s="433">
        <v>0</v>
      </c>
      <c r="P88" s="433">
        <v>0</v>
      </c>
      <c r="Q88" s="433">
        <v>0</v>
      </c>
      <c r="R88" s="433">
        <v>0</v>
      </c>
      <c r="S88" s="433">
        <v>0</v>
      </c>
      <c r="T88" s="433">
        <v>54164.999999999767</v>
      </c>
      <c r="U88" s="433">
        <v>87399.999999999825</v>
      </c>
      <c r="V88" s="433">
        <v>3899.9999999999955</v>
      </c>
      <c r="W88" s="433">
        <v>89459.999999999258</v>
      </c>
      <c r="X88" s="433">
        <v>161119.99999999927</v>
      </c>
      <c r="Y88" s="433">
        <v>133859.99999999985</v>
      </c>
      <c r="Z88" s="433">
        <v>0</v>
      </c>
      <c r="AA88" s="433">
        <v>27732.328767123287</v>
      </c>
      <c r="AB88" s="433">
        <v>0</v>
      </c>
      <c r="AC88" s="433">
        <v>575443.25105340418</v>
      </c>
      <c r="AD88" s="433">
        <v>0</v>
      </c>
      <c r="AE88" s="433">
        <v>0</v>
      </c>
      <c r="AF88" s="433">
        <v>152700</v>
      </c>
      <c r="AG88" s="433">
        <v>0</v>
      </c>
      <c r="AH88" s="433">
        <v>0</v>
      </c>
      <c r="AI88" s="433">
        <v>0</v>
      </c>
      <c r="AJ88" s="433">
        <v>32760</v>
      </c>
      <c r="AK88" s="433">
        <v>419920</v>
      </c>
      <c r="AL88" s="433">
        <v>0</v>
      </c>
      <c r="AM88" s="433">
        <v>0</v>
      </c>
      <c r="AN88" s="433">
        <v>0</v>
      </c>
      <c r="AO88" s="433">
        <v>0</v>
      </c>
      <c r="AP88" s="433">
        <v>0</v>
      </c>
      <c r="AQ88" s="433">
        <v>0</v>
      </c>
      <c r="AR88" s="433">
        <v>0</v>
      </c>
      <c r="AS88" s="433">
        <v>7393604</v>
      </c>
      <c r="AT88" s="433">
        <v>2461945.5798205235</v>
      </c>
      <c r="AU88" s="433">
        <v>605380</v>
      </c>
      <c r="AV88" s="433">
        <v>1554933.7106675566</v>
      </c>
      <c r="AW88" s="433">
        <v>10460929.579820523</v>
      </c>
      <c r="AX88" s="434">
        <v>10008249.579820523</v>
      </c>
      <c r="AY88" s="434">
        <v>6640</v>
      </c>
      <c r="AZ88" s="434">
        <v>8246880</v>
      </c>
      <c r="BA88" s="434">
        <v>0</v>
      </c>
      <c r="BB88" s="434">
        <v>0</v>
      </c>
      <c r="BC88" s="434">
        <v>10460929.579820523</v>
      </c>
      <c r="BD88" s="434">
        <v>0</v>
      </c>
      <c r="BE88" s="433">
        <v>10460929.579820525</v>
      </c>
      <c r="BF88" s="433">
        <v>8699560</v>
      </c>
      <c r="BG88" s="434">
        <v>8094180</v>
      </c>
      <c r="BH88" s="434">
        <v>9855549.579820523</v>
      </c>
      <c r="BI88" s="433">
        <v>7935.2251045253806</v>
      </c>
      <c r="BJ88" s="433">
        <v>7706.0204347376794</v>
      </c>
      <c r="BK88" s="433">
        <v>2.9743584477725776E-2</v>
      </c>
      <c r="BL88" s="435">
        <v>-5.2708887690317216E-3</v>
      </c>
      <c r="BM88" s="433">
        <v>-50447.030091727618</v>
      </c>
      <c r="BN88" s="433">
        <v>10410482.549728796</v>
      </c>
      <c r="BO88" s="434">
        <v>8017.5543878653752</v>
      </c>
      <c r="BP88" s="434" t="s">
        <v>768</v>
      </c>
      <c r="BQ88" s="434">
        <v>8382.0310384289824</v>
      </c>
      <c r="BR88" s="434">
        <v>2.3994271479153229E-2</v>
      </c>
      <c r="BS88" s="659">
        <v>0</v>
      </c>
      <c r="BT88" s="433">
        <v>10410482.549728796</v>
      </c>
      <c r="BU88" s="433">
        <v>0</v>
      </c>
      <c r="BV88" s="433">
        <v>10410482.549728796</v>
      </c>
      <c r="BW88" s="433">
        <v>32760</v>
      </c>
      <c r="BX88" s="665">
        <v>10377722.549728796</v>
      </c>
      <c r="BY88" s="670"/>
      <c r="BZ88" s="380">
        <v>10377722.549728796</v>
      </c>
      <c r="CA88" s="380">
        <f t="shared" si="2"/>
        <v>0</v>
      </c>
    </row>
    <row r="89" spans="1:79" ht="14.5" x14ac:dyDescent="0.35">
      <c r="A89" s="430">
        <v>143934</v>
      </c>
      <c r="B89" s="430">
        <v>8314006</v>
      </c>
      <c r="C89" s="431" t="s">
        <v>139</v>
      </c>
      <c r="D89" s="430">
        <v>971</v>
      </c>
      <c r="E89" s="432">
        <v>0</v>
      </c>
      <c r="F89" s="432">
        <v>971</v>
      </c>
      <c r="G89" s="432">
        <v>0</v>
      </c>
      <c r="H89" s="433">
        <v>3440030</v>
      </c>
      <c r="I89" s="433">
        <v>2346060</v>
      </c>
      <c r="J89" s="433">
        <v>0</v>
      </c>
      <c r="K89" s="433">
        <v>191899.99999999991</v>
      </c>
      <c r="L89" s="433">
        <v>0</v>
      </c>
      <c r="M89" s="433">
        <v>702074.99999999977</v>
      </c>
      <c r="N89" s="433">
        <v>0</v>
      </c>
      <c r="O89" s="433">
        <v>0</v>
      </c>
      <c r="P89" s="433">
        <v>0</v>
      </c>
      <c r="Q89" s="433">
        <v>0</v>
      </c>
      <c r="R89" s="433">
        <v>0</v>
      </c>
      <c r="S89" s="433">
        <v>0</v>
      </c>
      <c r="T89" s="433">
        <v>43860.170103092656</v>
      </c>
      <c r="U89" s="433">
        <v>52954.536082473853</v>
      </c>
      <c r="V89" s="433">
        <v>43594.896907216484</v>
      </c>
      <c r="W89" s="433">
        <v>12793.175257731937</v>
      </c>
      <c r="X89" s="433">
        <v>29670.556701030921</v>
      </c>
      <c r="Y89" s="433">
        <v>68941</v>
      </c>
      <c r="Z89" s="433">
        <v>0</v>
      </c>
      <c r="AA89" s="433">
        <v>42423.69072164948</v>
      </c>
      <c r="AB89" s="433">
        <v>0</v>
      </c>
      <c r="AC89" s="433">
        <v>424147.16766616394</v>
      </c>
      <c r="AD89" s="433">
        <v>0</v>
      </c>
      <c r="AE89" s="433">
        <v>0</v>
      </c>
      <c r="AF89" s="433">
        <v>152700</v>
      </c>
      <c r="AG89" s="433">
        <v>0</v>
      </c>
      <c r="AH89" s="433">
        <v>0</v>
      </c>
      <c r="AI89" s="433">
        <v>0</v>
      </c>
      <c r="AJ89" s="433">
        <v>28665</v>
      </c>
      <c r="AK89" s="433">
        <v>0</v>
      </c>
      <c r="AL89" s="433">
        <v>0</v>
      </c>
      <c r="AM89" s="433">
        <v>0</v>
      </c>
      <c r="AN89" s="433">
        <v>0</v>
      </c>
      <c r="AO89" s="433">
        <v>0</v>
      </c>
      <c r="AP89" s="433">
        <v>0</v>
      </c>
      <c r="AQ89" s="433">
        <v>0</v>
      </c>
      <c r="AR89" s="433">
        <v>0</v>
      </c>
      <c r="AS89" s="433">
        <v>5786090</v>
      </c>
      <c r="AT89" s="433">
        <v>1612360.1934393588</v>
      </c>
      <c r="AU89" s="433">
        <v>181365</v>
      </c>
      <c r="AV89" s="433">
        <v>1106541.1933420131</v>
      </c>
      <c r="AW89" s="433">
        <v>7579815.1934393588</v>
      </c>
      <c r="AX89" s="434">
        <v>7551150.1934393588</v>
      </c>
      <c r="AY89" s="434">
        <v>6640</v>
      </c>
      <c r="AZ89" s="434">
        <v>6447440</v>
      </c>
      <c r="BA89" s="434">
        <v>0</v>
      </c>
      <c r="BB89" s="434">
        <v>0</v>
      </c>
      <c r="BC89" s="434">
        <v>7579815.1934393588</v>
      </c>
      <c r="BD89" s="434">
        <v>0</v>
      </c>
      <c r="BE89" s="433">
        <v>7579815.1934393598</v>
      </c>
      <c r="BF89" s="433">
        <v>6476105</v>
      </c>
      <c r="BG89" s="434">
        <v>6294740</v>
      </c>
      <c r="BH89" s="434">
        <v>7398450.1934393588</v>
      </c>
      <c r="BI89" s="433">
        <v>7619.4131755297203</v>
      </c>
      <c r="BJ89" s="433">
        <v>7271.1332813840154</v>
      </c>
      <c r="BK89" s="433">
        <v>4.7898983647761163E-2</v>
      </c>
      <c r="BL89" s="435">
        <v>-1.7471317011295503E-2</v>
      </c>
      <c r="BM89" s="433">
        <v>-123352.22262731864</v>
      </c>
      <c r="BN89" s="433">
        <v>7456462.9708120404</v>
      </c>
      <c r="BO89" s="434">
        <v>7649.6374570669832</v>
      </c>
      <c r="BP89" s="434" t="s">
        <v>768</v>
      </c>
      <c r="BQ89" s="434">
        <v>7679.1585693223897</v>
      </c>
      <c r="BR89" s="434">
        <v>3.1290755138702497E-2</v>
      </c>
      <c r="BS89" s="659">
        <v>0</v>
      </c>
      <c r="BT89" s="433">
        <v>7456462.9708120404</v>
      </c>
      <c r="BU89" s="433">
        <v>0</v>
      </c>
      <c r="BV89" s="433">
        <v>7456462.9708120404</v>
      </c>
      <c r="BW89" s="433">
        <v>28665</v>
      </c>
      <c r="BX89" s="665">
        <v>7427797.9708120404</v>
      </c>
      <c r="BY89" s="670"/>
      <c r="BZ89" s="380">
        <v>7427797.9708120404</v>
      </c>
      <c r="CA89" s="380">
        <f t="shared" si="2"/>
        <v>0</v>
      </c>
    </row>
    <row r="90" spans="1:79" ht="14.5" x14ac:dyDescent="0.35">
      <c r="A90" s="430">
        <v>144066</v>
      </c>
      <c r="B90" s="430">
        <v>8314007</v>
      </c>
      <c r="C90" s="431" t="s">
        <v>140</v>
      </c>
      <c r="D90" s="430">
        <v>671</v>
      </c>
      <c r="E90" s="432">
        <v>0</v>
      </c>
      <c r="F90" s="432">
        <v>671</v>
      </c>
      <c r="G90" s="432">
        <v>0</v>
      </c>
      <c r="H90" s="433">
        <v>2405178</v>
      </c>
      <c r="I90" s="433">
        <v>1589680</v>
      </c>
      <c r="J90" s="433">
        <v>0</v>
      </c>
      <c r="K90" s="433">
        <v>205534.99999999988</v>
      </c>
      <c r="L90" s="433">
        <v>0</v>
      </c>
      <c r="M90" s="433">
        <v>715874.99999999907</v>
      </c>
      <c r="N90" s="433">
        <v>0</v>
      </c>
      <c r="O90" s="433">
        <v>0</v>
      </c>
      <c r="P90" s="433">
        <v>0</v>
      </c>
      <c r="Q90" s="433">
        <v>0</v>
      </c>
      <c r="R90" s="433">
        <v>0</v>
      </c>
      <c r="S90" s="433">
        <v>0</v>
      </c>
      <c r="T90" s="433">
        <v>50024.999999999942</v>
      </c>
      <c r="U90" s="433">
        <v>42779.999999999833</v>
      </c>
      <c r="V90" s="433">
        <v>34449.999999999956</v>
      </c>
      <c r="W90" s="433">
        <v>9229.9999999999891</v>
      </c>
      <c r="X90" s="433">
        <v>55479.999999999731</v>
      </c>
      <c r="Y90" s="433">
        <v>186239.99999999939</v>
      </c>
      <c r="Z90" s="433">
        <v>0</v>
      </c>
      <c r="AA90" s="433">
        <v>30969.999999999964</v>
      </c>
      <c r="AB90" s="433">
        <v>0</v>
      </c>
      <c r="AC90" s="433">
        <v>401194.45466343767</v>
      </c>
      <c r="AD90" s="433">
        <v>0</v>
      </c>
      <c r="AE90" s="433">
        <v>0</v>
      </c>
      <c r="AF90" s="433">
        <v>152700</v>
      </c>
      <c r="AG90" s="433">
        <v>0</v>
      </c>
      <c r="AH90" s="433">
        <v>0</v>
      </c>
      <c r="AI90" s="433">
        <v>0</v>
      </c>
      <c r="AJ90" s="433">
        <v>30576</v>
      </c>
      <c r="AK90" s="433">
        <v>31866</v>
      </c>
      <c r="AL90" s="433">
        <v>0</v>
      </c>
      <c r="AM90" s="433">
        <v>0</v>
      </c>
      <c r="AN90" s="433">
        <v>0</v>
      </c>
      <c r="AO90" s="433">
        <v>0</v>
      </c>
      <c r="AP90" s="433">
        <v>0</v>
      </c>
      <c r="AQ90" s="433">
        <v>0</v>
      </c>
      <c r="AR90" s="433">
        <v>0</v>
      </c>
      <c r="AS90" s="433">
        <v>3994858</v>
      </c>
      <c r="AT90" s="433">
        <v>1731779.4546634355</v>
      </c>
      <c r="AU90" s="433">
        <v>215142</v>
      </c>
      <c r="AV90" s="433">
        <v>982430.46776886098</v>
      </c>
      <c r="AW90" s="433">
        <v>5941779.454663435</v>
      </c>
      <c r="AX90" s="434">
        <v>5879337.454663435</v>
      </c>
      <c r="AY90" s="434">
        <v>6640</v>
      </c>
      <c r="AZ90" s="434">
        <v>4455440</v>
      </c>
      <c r="BA90" s="434">
        <v>0</v>
      </c>
      <c r="BB90" s="434">
        <v>0</v>
      </c>
      <c r="BC90" s="434">
        <v>5941779.454663435</v>
      </c>
      <c r="BD90" s="434">
        <v>0</v>
      </c>
      <c r="BE90" s="433">
        <v>5941779.4546634359</v>
      </c>
      <c r="BF90" s="433">
        <v>4517882</v>
      </c>
      <c r="BG90" s="434">
        <v>4302740</v>
      </c>
      <c r="BH90" s="434">
        <v>5726637.454663435</v>
      </c>
      <c r="BI90" s="433">
        <v>8534.4820486787412</v>
      </c>
      <c r="BJ90" s="433">
        <v>8194.6346991489354</v>
      </c>
      <c r="BK90" s="433">
        <v>4.1471934016180254E-2</v>
      </c>
      <c r="BL90" s="435">
        <v>-1.3152339658873132E-2</v>
      </c>
      <c r="BM90" s="433">
        <v>-72319.453311151869</v>
      </c>
      <c r="BN90" s="433">
        <v>5869460.0013522832</v>
      </c>
      <c r="BO90" s="434">
        <v>8654.2742196010186</v>
      </c>
      <c r="BP90" s="434" t="s">
        <v>768</v>
      </c>
      <c r="BQ90" s="434">
        <v>8747.3323418066811</v>
      </c>
      <c r="BR90" s="434">
        <v>2.9485757741465779E-2</v>
      </c>
      <c r="BS90" s="659">
        <v>0</v>
      </c>
      <c r="BT90" s="433">
        <v>5869460.0013522832</v>
      </c>
      <c r="BU90" s="433">
        <v>0</v>
      </c>
      <c r="BV90" s="433">
        <v>5869460.0013522832</v>
      </c>
      <c r="BW90" s="433">
        <v>30576</v>
      </c>
      <c r="BX90" s="665">
        <v>5838884.0013522832</v>
      </c>
      <c r="BY90" s="670"/>
      <c r="BZ90" s="380">
        <v>5838884.0013522832</v>
      </c>
      <c r="CA90" s="380">
        <f t="shared" si="2"/>
        <v>0</v>
      </c>
    </row>
    <row r="91" spans="1:79" ht="14.5" x14ac:dyDescent="0.35">
      <c r="A91" s="430">
        <v>145132</v>
      </c>
      <c r="B91" s="430">
        <v>8314008</v>
      </c>
      <c r="C91" s="431" t="s">
        <v>141</v>
      </c>
      <c r="D91" s="430">
        <v>910</v>
      </c>
      <c r="E91" s="432">
        <v>0</v>
      </c>
      <c r="F91" s="432">
        <v>910</v>
      </c>
      <c r="G91" s="432">
        <v>0</v>
      </c>
      <c r="H91" s="433">
        <v>3053382</v>
      </c>
      <c r="I91" s="433">
        <v>2390930</v>
      </c>
      <c r="J91" s="433">
        <v>0</v>
      </c>
      <c r="K91" s="433">
        <v>266134.99999999994</v>
      </c>
      <c r="L91" s="433">
        <v>0</v>
      </c>
      <c r="M91" s="433">
        <v>943574.99999999977</v>
      </c>
      <c r="N91" s="433">
        <v>0</v>
      </c>
      <c r="O91" s="433">
        <v>0</v>
      </c>
      <c r="P91" s="433">
        <v>0</v>
      </c>
      <c r="Q91" s="433">
        <v>0</v>
      </c>
      <c r="R91" s="433">
        <v>0</v>
      </c>
      <c r="S91" s="433">
        <v>0</v>
      </c>
      <c r="T91" s="433">
        <v>14505.940594059404</v>
      </c>
      <c r="U91" s="433">
        <v>53418.701870186764</v>
      </c>
      <c r="V91" s="433">
        <v>80037.953795379362</v>
      </c>
      <c r="W91" s="433">
        <v>127229.81298129754</v>
      </c>
      <c r="X91" s="433">
        <v>134667.98679867937</v>
      </c>
      <c r="Y91" s="433">
        <v>18450.27502750275</v>
      </c>
      <c r="Z91" s="433">
        <v>0</v>
      </c>
      <c r="AA91" s="433">
        <v>138020.067264574</v>
      </c>
      <c r="AB91" s="433">
        <v>0</v>
      </c>
      <c r="AC91" s="433">
        <v>545149.18519343261</v>
      </c>
      <c r="AD91" s="433">
        <v>0</v>
      </c>
      <c r="AE91" s="433">
        <v>27566.192519251923</v>
      </c>
      <c r="AF91" s="433">
        <v>152700</v>
      </c>
      <c r="AG91" s="433">
        <v>0</v>
      </c>
      <c r="AH91" s="433">
        <v>0</v>
      </c>
      <c r="AI91" s="433">
        <v>0</v>
      </c>
      <c r="AJ91" s="433">
        <v>52689</v>
      </c>
      <c r="AK91" s="433">
        <v>0</v>
      </c>
      <c r="AL91" s="433">
        <v>0</v>
      </c>
      <c r="AM91" s="433">
        <v>0</v>
      </c>
      <c r="AN91" s="433">
        <v>0</v>
      </c>
      <c r="AO91" s="433">
        <v>0</v>
      </c>
      <c r="AP91" s="433">
        <v>0</v>
      </c>
      <c r="AQ91" s="433">
        <v>0</v>
      </c>
      <c r="AR91" s="433">
        <v>0</v>
      </c>
      <c r="AS91" s="433">
        <v>5444312</v>
      </c>
      <c r="AT91" s="433">
        <v>2348756.116044363</v>
      </c>
      <c r="AU91" s="433">
        <v>205389</v>
      </c>
      <c r="AV91" s="433">
        <v>1354925.9167905534</v>
      </c>
      <c r="AW91" s="433">
        <v>7998457.116044363</v>
      </c>
      <c r="AX91" s="434">
        <v>7945768.116044363</v>
      </c>
      <c r="AY91" s="434">
        <v>6640</v>
      </c>
      <c r="AZ91" s="434">
        <v>6042400</v>
      </c>
      <c r="BA91" s="434">
        <v>0</v>
      </c>
      <c r="BB91" s="434">
        <v>0</v>
      </c>
      <c r="BC91" s="434">
        <v>7998457.116044363</v>
      </c>
      <c r="BD91" s="434">
        <v>0</v>
      </c>
      <c r="BE91" s="433">
        <v>7998457.116044363</v>
      </c>
      <c r="BF91" s="433">
        <v>6095089</v>
      </c>
      <c r="BG91" s="434">
        <v>5889700</v>
      </c>
      <c r="BH91" s="434">
        <v>7793068.116044363</v>
      </c>
      <c r="BI91" s="433">
        <v>8563.8111165322662</v>
      </c>
      <c r="BJ91" s="433">
        <v>8215.8188010952908</v>
      </c>
      <c r="BK91" s="433">
        <v>4.2356376626829062E-2</v>
      </c>
      <c r="BL91" s="435">
        <v>-1.3746685093229131E-2</v>
      </c>
      <c r="BM91" s="433">
        <v>-102775.64919593632</v>
      </c>
      <c r="BN91" s="433">
        <v>7895681.4668484265</v>
      </c>
      <c r="BO91" s="434">
        <v>8618.6730404927766</v>
      </c>
      <c r="BP91" s="434" t="s">
        <v>768</v>
      </c>
      <c r="BQ91" s="434">
        <v>8676.5730404927763</v>
      </c>
      <c r="BR91" s="434">
        <v>2.9216231919009905E-2</v>
      </c>
      <c r="BS91" s="659">
        <v>0</v>
      </c>
      <c r="BT91" s="433">
        <v>7895681.4668484265</v>
      </c>
      <c r="BU91" s="433">
        <v>0</v>
      </c>
      <c r="BV91" s="433">
        <v>7895681.4668484265</v>
      </c>
      <c r="BW91" s="433">
        <v>52689</v>
      </c>
      <c r="BX91" s="665">
        <v>7842992.4668484265</v>
      </c>
      <c r="BY91" s="670"/>
      <c r="BZ91" s="380">
        <v>7842992.4668484265</v>
      </c>
      <c r="CA91" s="380">
        <f t="shared" si="2"/>
        <v>0</v>
      </c>
    </row>
    <row r="92" spans="1:79" ht="14.5" x14ac:dyDescent="0.35">
      <c r="A92" s="430">
        <v>147685</v>
      </c>
      <c r="B92" s="430">
        <v>8314010</v>
      </c>
      <c r="C92" s="431" t="s">
        <v>142</v>
      </c>
      <c r="D92" s="430">
        <v>348</v>
      </c>
      <c r="E92" s="432">
        <v>0</v>
      </c>
      <c r="F92" s="432">
        <v>348</v>
      </c>
      <c r="G92" s="432">
        <v>0</v>
      </c>
      <c r="H92" s="433">
        <v>653890</v>
      </c>
      <c r="I92" s="433">
        <v>1493530</v>
      </c>
      <c r="J92" s="433">
        <v>0</v>
      </c>
      <c r="K92" s="433">
        <v>56559.999999999978</v>
      </c>
      <c r="L92" s="433">
        <v>0</v>
      </c>
      <c r="M92" s="433">
        <v>253574.99999999985</v>
      </c>
      <c r="N92" s="433">
        <v>0</v>
      </c>
      <c r="O92" s="433">
        <v>0</v>
      </c>
      <c r="P92" s="433">
        <v>0</v>
      </c>
      <c r="Q92" s="433">
        <v>0</v>
      </c>
      <c r="R92" s="433">
        <v>0</v>
      </c>
      <c r="S92" s="433">
        <v>0</v>
      </c>
      <c r="T92" s="433">
        <v>12764.999999999907</v>
      </c>
      <c r="U92" s="433">
        <v>22539.999999999931</v>
      </c>
      <c r="V92" s="433">
        <v>12349.99999999998</v>
      </c>
      <c r="W92" s="433">
        <v>29109.999999999753</v>
      </c>
      <c r="X92" s="433">
        <v>27359.999999999745</v>
      </c>
      <c r="Y92" s="433">
        <v>30069.999999999985</v>
      </c>
      <c r="Z92" s="433">
        <v>0</v>
      </c>
      <c r="AA92" s="433">
        <v>3297.9069767441847</v>
      </c>
      <c r="AB92" s="433">
        <v>0</v>
      </c>
      <c r="AC92" s="433">
        <v>117657.97357210501</v>
      </c>
      <c r="AD92" s="433">
        <v>0</v>
      </c>
      <c r="AE92" s="433">
        <v>0</v>
      </c>
      <c r="AF92" s="433">
        <v>152700</v>
      </c>
      <c r="AG92" s="433">
        <v>0</v>
      </c>
      <c r="AH92" s="433">
        <v>0</v>
      </c>
      <c r="AI92" s="433">
        <v>0</v>
      </c>
      <c r="AJ92" s="433">
        <v>33033</v>
      </c>
      <c r="AK92" s="433">
        <v>0</v>
      </c>
      <c r="AL92" s="433">
        <v>0</v>
      </c>
      <c r="AM92" s="433">
        <v>0</v>
      </c>
      <c r="AN92" s="433">
        <v>0</v>
      </c>
      <c r="AO92" s="433">
        <v>0</v>
      </c>
      <c r="AP92" s="433">
        <v>0</v>
      </c>
      <c r="AQ92" s="433">
        <v>0</v>
      </c>
      <c r="AR92" s="433">
        <v>0</v>
      </c>
      <c r="AS92" s="433">
        <v>2147420</v>
      </c>
      <c r="AT92" s="433">
        <v>565285.88054884842</v>
      </c>
      <c r="AU92" s="433">
        <v>185733</v>
      </c>
      <c r="AV92" s="433">
        <v>391740.54142835276</v>
      </c>
      <c r="AW92" s="433">
        <v>2898438.8805488483</v>
      </c>
      <c r="AX92" s="434">
        <v>2865405.8805488483</v>
      </c>
      <c r="AY92" s="434">
        <v>6808</v>
      </c>
      <c r="AZ92" s="434">
        <v>2369184</v>
      </c>
      <c r="BA92" s="434">
        <v>0</v>
      </c>
      <c r="BB92" s="434">
        <v>0</v>
      </c>
      <c r="BC92" s="434">
        <v>2898438.8805488483</v>
      </c>
      <c r="BD92" s="434">
        <v>0</v>
      </c>
      <c r="BE92" s="433">
        <v>2898438.8805488483</v>
      </c>
      <c r="BF92" s="433">
        <v>2402217</v>
      </c>
      <c r="BG92" s="434">
        <v>2216484</v>
      </c>
      <c r="BH92" s="434">
        <v>2712705.8805488483</v>
      </c>
      <c r="BI92" s="433">
        <v>7795.1318406576102</v>
      </c>
      <c r="BJ92" s="433">
        <v>7642.7604520249215</v>
      </c>
      <c r="BK92" s="433">
        <v>1.993669559436714E-2</v>
      </c>
      <c r="BL92" s="435">
        <v>0</v>
      </c>
      <c r="BM92" s="433">
        <v>0</v>
      </c>
      <c r="BN92" s="433">
        <v>2898438.8805488483</v>
      </c>
      <c r="BO92" s="434">
        <v>8233.9249441058855</v>
      </c>
      <c r="BP92" s="434" t="s">
        <v>768</v>
      </c>
      <c r="BQ92" s="434">
        <v>8328.8473578989888</v>
      </c>
      <c r="BR92" s="434">
        <v>1.3863431020730843E-2</v>
      </c>
      <c r="BS92" s="659">
        <v>0</v>
      </c>
      <c r="BT92" s="433">
        <v>2898438.8805488483</v>
      </c>
      <c r="BU92" s="433">
        <v>0</v>
      </c>
      <c r="BV92" s="433">
        <v>2898438.8805488483</v>
      </c>
      <c r="BW92" s="433">
        <v>33033</v>
      </c>
      <c r="BX92" s="665">
        <v>2865405.8805488483</v>
      </c>
      <c r="BY92" s="670"/>
      <c r="BZ92" s="380">
        <v>2865405.8805488483</v>
      </c>
      <c r="CA92" s="380">
        <f t="shared" si="2"/>
        <v>0</v>
      </c>
    </row>
    <row r="93" spans="1:79" ht="14.5" x14ac:dyDescent="0.35">
      <c r="A93" s="430">
        <v>148538</v>
      </c>
      <c r="B93" s="430">
        <v>8314011</v>
      </c>
      <c r="C93" s="431" t="s">
        <v>143</v>
      </c>
      <c r="D93" s="430">
        <v>833</v>
      </c>
      <c r="E93" s="432">
        <v>0</v>
      </c>
      <c r="F93" s="432">
        <v>833</v>
      </c>
      <c r="G93" s="432">
        <v>0</v>
      </c>
      <c r="H93" s="433">
        <v>2808884</v>
      </c>
      <c r="I93" s="433">
        <v>2172990</v>
      </c>
      <c r="J93" s="433">
        <v>0</v>
      </c>
      <c r="K93" s="433">
        <v>281284.99999999971</v>
      </c>
      <c r="L93" s="433">
        <v>0</v>
      </c>
      <c r="M93" s="433">
        <v>1041899.9999999991</v>
      </c>
      <c r="N93" s="433">
        <v>0</v>
      </c>
      <c r="O93" s="433">
        <v>0</v>
      </c>
      <c r="P93" s="433">
        <v>0</v>
      </c>
      <c r="Q93" s="433">
        <v>0</v>
      </c>
      <c r="R93" s="433">
        <v>0</v>
      </c>
      <c r="S93" s="433">
        <v>0</v>
      </c>
      <c r="T93" s="433">
        <v>15908.194945848367</v>
      </c>
      <c r="U93" s="433">
        <v>37349.675090252698</v>
      </c>
      <c r="V93" s="433">
        <v>31275.090252707549</v>
      </c>
      <c r="W93" s="433">
        <v>111738.27918170854</v>
      </c>
      <c r="X93" s="433">
        <v>186648.13477737625</v>
      </c>
      <c r="Y93" s="433">
        <v>164324.5367027671</v>
      </c>
      <c r="Z93" s="433">
        <v>0</v>
      </c>
      <c r="AA93" s="433">
        <v>164827.87259615283</v>
      </c>
      <c r="AB93" s="433">
        <v>0</v>
      </c>
      <c r="AC93" s="433">
        <v>550958.90729617758</v>
      </c>
      <c r="AD93" s="433">
        <v>0</v>
      </c>
      <c r="AE93" s="433">
        <v>68449.516867469298</v>
      </c>
      <c r="AF93" s="433">
        <v>152700</v>
      </c>
      <c r="AG93" s="433">
        <v>0</v>
      </c>
      <c r="AH93" s="433">
        <v>0</v>
      </c>
      <c r="AI93" s="433">
        <v>0</v>
      </c>
      <c r="AJ93" s="433">
        <v>40677</v>
      </c>
      <c r="AK93" s="433">
        <v>488464</v>
      </c>
      <c r="AL93" s="433">
        <v>0</v>
      </c>
      <c r="AM93" s="433">
        <v>0</v>
      </c>
      <c r="AN93" s="433">
        <v>0</v>
      </c>
      <c r="AO93" s="433">
        <v>0</v>
      </c>
      <c r="AP93" s="433">
        <v>0</v>
      </c>
      <c r="AQ93" s="433">
        <v>0</v>
      </c>
      <c r="AR93" s="433">
        <v>0</v>
      </c>
      <c r="AS93" s="433">
        <v>4981874</v>
      </c>
      <c r="AT93" s="433">
        <v>2654665.2077104589</v>
      </c>
      <c r="AU93" s="433">
        <v>681841</v>
      </c>
      <c r="AV93" s="433">
        <v>1447993.0707742386</v>
      </c>
      <c r="AW93" s="433">
        <v>8318380.2077104589</v>
      </c>
      <c r="AX93" s="434">
        <v>7789239.2077104589</v>
      </c>
      <c r="AY93" s="434">
        <v>6640</v>
      </c>
      <c r="AZ93" s="434">
        <v>5531120</v>
      </c>
      <c r="BA93" s="434">
        <v>0</v>
      </c>
      <c r="BB93" s="434">
        <v>0</v>
      </c>
      <c r="BC93" s="434">
        <v>8318380.2077104589</v>
      </c>
      <c r="BD93" s="434">
        <v>0</v>
      </c>
      <c r="BE93" s="433">
        <v>8318380.2077104598</v>
      </c>
      <c r="BF93" s="433">
        <v>6060261</v>
      </c>
      <c r="BG93" s="434">
        <v>5378420</v>
      </c>
      <c r="BH93" s="434">
        <v>7636539.2077104589</v>
      </c>
      <c r="BI93" s="433">
        <v>9167.5140548745003</v>
      </c>
      <c r="BJ93" s="433">
        <v>8778.1349139269405</v>
      </c>
      <c r="BK93" s="433">
        <v>4.4357844207861367E-2</v>
      </c>
      <c r="BL93" s="435">
        <v>-1.509167130768284E-2</v>
      </c>
      <c r="BM93" s="433">
        <v>-110353.113437295</v>
      </c>
      <c r="BN93" s="433">
        <v>8208027.0942731639</v>
      </c>
      <c r="BO93" s="434">
        <v>9218.3506533891523</v>
      </c>
      <c r="BP93" s="434" t="s">
        <v>768</v>
      </c>
      <c r="BQ93" s="434">
        <v>9853.5739427048793</v>
      </c>
      <c r="BR93" s="434">
        <v>3.1802254919147455E-2</v>
      </c>
      <c r="BS93" s="659">
        <v>0</v>
      </c>
      <c r="BT93" s="433">
        <v>8208027.0942731639</v>
      </c>
      <c r="BU93" s="433">
        <v>0</v>
      </c>
      <c r="BV93" s="433">
        <v>8208027.0942731639</v>
      </c>
      <c r="BW93" s="433">
        <v>40677</v>
      </c>
      <c r="BX93" s="665">
        <v>8167350.0942731639</v>
      </c>
      <c r="BY93" s="670"/>
      <c r="BZ93" s="380">
        <v>8167350.0942731639</v>
      </c>
      <c r="CA93" s="380">
        <f t="shared" si="2"/>
        <v>0</v>
      </c>
    </row>
    <row r="94" spans="1:79" ht="14.5" x14ac:dyDescent="0.35">
      <c r="A94" s="430">
        <v>148639</v>
      </c>
      <c r="B94" s="430">
        <v>8314012</v>
      </c>
      <c r="C94" s="431" t="s">
        <v>144</v>
      </c>
      <c r="D94" s="430">
        <v>1490</v>
      </c>
      <c r="E94" s="432">
        <v>0</v>
      </c>
      <c r="F94" s="432">
        <v>1490</v>
      </c>
      <c r="G94" s="432">
        <v>0</v>
      </c>
      <c r="H94" s="433">
        <v>5123086</v>
      </c>
      <c r="I94" s="433">
        <v>3775490</v>
      </c>
      <c r="J94" s="433">
        <v>0</v>
      </c>
      <c r="K94" s="433">
        <v>157559.99999999968</v>
      </c>
      <c r="L94" s="433">
        <v>0</v>
      </c>
      <c r="M94" s="433">
        <v>550274.99999999837</v>
      </c>
      <c r="N94" s="433">
        <v>0</v>
      </c>
      <c r="O94" s="433">
        <v>0</v>
      </c>
      <c r="P94" s="433">
        <v>0</v>
      </c>
      <c r="Q94" s="433">
        <v>0</v>
      </c>
      <c r="R94" s="433">
        <v>0</v>
      </c>
      <c r="S94" s="433">
        <v>0</v>
      </c>
      <c r="T94" s="433">
        <v>51405</v>
      </c>
      <c r="U94" s="433">
        <v>2299.999999999995</v>
      </c>
      <c r="V94" s="433">
        <v>0</v>
      </c>
      <c r="W94" s="433">
        <v>9229.9999999999982</v>
      </c>
      <c r="X94" s="433">
        <v>25079.999999999989</v>
      </c>
      <c r="Y94" s="433">
        <v>8729.9999999999873</v>
      </c>
      <c r="Z94" s="433">
        <v>0</v>
      </c>
      <c r="AA94" s="433">
        <v>37616.228956228741</v>
      </c>
      <c r="AB94" s="433">
        <v>0</v>
      </c>
      <c r="AC94" s="433">
        <v>528776.06471745798</v>
      </c>
      <c r="AD94" s="433">
        <v>0</v>
      </c>
      <c r="AE94" s="433">
        <v>0</v>
      </c>
      <c r="AF94" s="433">
        <v>152700</v>
      </c>
      <c r="AG94" s="433">
        <v>0</v>
      </c>
      <c r="AH94" s="433">
        <v>0</v>
      </c>
      <c r="AI94" s="433">
        <v>0</v>
      </c>
      <c r="AJ94" s="433">
        <v>49140</v>
      </c>
      <c r="AK94" s="433">
        <v>0</v>
      </c>
      <c r="AL94" s="433">
        <v>0</v>
      </c>
      <c r="AM94" s="433">
        <v>0</v>
      </c>
      <c r="AN94" s="433">
        <v>0</v>
      </c>
      <c r="AO94" s="433">
        <v>0</v>
      </c>
      <c r="AP94" s="433">
        <v>0</v>
      </c>
      <c r="AQ94" s="433">
        <v>0</v>
      </c>
      <c r="AR94" s="433">
        <v>0</v>
      </c>
      <c r="AS94" s="433">
        <v>8898576</v>
      </c>
      <c r="AT94" s="433">
        <v>1370972.2936736848</v>
      </c>
      <c r="AU94" s="433">
        <v>201840</v>
      </c>
      <c r="AV94" s="433">
        <v>1307837.4415098724</v>
      </c>
      <c r="AW94" s="433">
        <v>10471388.293673685</v>
      </c>
      <c r="AX94" s="434">
        <v>10422248.293673685</v>
      </c>
      <c r="AY94" s="434">
        <v>6640</v>
      </c>
      <c r="AZ94" s="434">
        <v>9893600</v>
      </c>
      <c r="BA94" s="434">
        <v>0</v>
      </c>
      <c r="BB94" s="434">
        <v>0</v>
      </c>
      <c r="BC94" s="434">
        <v>10471388.293673685</v>
      </c>
      <c r="BD94" s="434">
        <v>0</v>
      </c>
      <c r="BE94" s="433">
        <v>10471388.293673685</v>
      </c>
      <c r="BF94" s="433">
        <v>9942740</v>
      </c>
      <c r="BG94" s="434">
        <v>9740900</v>
      </c>
      <c r="BH94" s="434">
        <v>10269548.293673685</v>
      </c>
      <c r="BI94" s="433">
        <v>6892.3142910561646</v>
      </c>
      <c r="BJ94" s="433">
        <v>6618.4332956405096</v>
      </c>
      <c r="BK94" s="433">
        <v>4.1381545024569096E-2</v>
      </c>
      <c r="BL94" s="435">
        <v>-1.3091598256510434E-2</v>
      </c>
      <c r="BM94" s="433">
        <v>-129102.34599311648</v>
      </c>
      <c r="BN94" s="433">
        <v>10342285.947680568</v>
      </c>
      <c r="BO94" s="434">
        <v>6908.1516427386368</v>
      </c>
      <c r="BP94" s="434" t="s">
        <v>768</v>
      </c>
      <c r="BQ94" s="434">
        <v>6941.1315085104488</v>
      </c>
      <c r="BR94" s="434">
        <v>2.8048758199231028E-2</v>
      </c>
      <c r="BS94" s="659">
        <v>0</v>
      </c>
      <c r="BT94" s="433">
        <v>10342285.947680568</v>
      </c>
      <c r="BU94" s="433">
        <v>0</v>
      </c>
      <c r="BV94" s="433">
        <v>10342285.947680568</v>
      </c>
      <c r="BW94" s="433">
        <v>49140</v>
      </c>
      <c r="BX94" s="665">
        <v>10293145.947680568</v>
      </c>
      <c r="BY94" s="670"/>
      <c r="BZ94" s="380">
        <v>10293145.947680568</v>
      </c>
      <c r="CA94" s="380">
        <f t="shared" si="2"/>
        <v>0</v>
      </c>
    </row>
    <row r="95" spans="1:79" ht="14.5" x14ac:dyDescent="0.35">
      <c r="A95" s="430">
        <v>145327</v>
      </c>
      <c r="B95" s="430">
        <v>8314178</v>
      </c>
      <c r="C95" s="431" t="s">
        <v>145</v>
      </c>
      <c r="D95" s="430">
        <v>1450</v>
      </c>
      <c r="E95" s="432">
        <v>0</v>
      </c>
      <c r="F95" s="432">
        <v>1450</v>
      </c>
      <c r="G95" s="432">
        <v>0</v>
      </c>
      <c r="H95" s="433">
        <v>4946820</v>
      </c>
      <c r="I95" s="433">
        <v>3717800</v>
      </c>
      <c r="J95" s="433">
        <v>0</v>
      </c>
      <c r="K95" s="433">
        <v>307545</v>
      </c>
      <c r="L95" s="433">
        <v>0</v>
      </c>
      <c r="M95" s="433">
        <v>1100550</v>
      </c>
      <c r="N95" s="433">
        <v>0</v>
      </c>
      <c r="O95" s="433">
        <v>0</v>
      </c>
      <c r="P95" s="433">
        <v>0</v>
      </c>
      <c r="Q95" s="433">
        <v>0</v>
      </c>
      <c r="R95" s="433">
        <v>0</v>
      </c>
      <c r="S95" s="433">
        <v>0</v>
      </c>
      <c r="T95" s="433">
        <v>4836.6712707182287</v>
      </c>
      <c r="U95" s="433">
        <v>109631.21546961267</v>
      </c>
      <c r="V95" s="433">
        <v>158819.06077348001</v>
      </c>
      <c r="W95" s="433">
        <v>125132.596685082</v>
      </c>
      <c r="X95" s="433">
        <v>108069.06077348063</v>
      </c>
      <c r="Y95" s="433">
        <v>6799.378453038662</v>
      </c>
      <c r="Z95" s="433">
        <v>0</v>
      </c>
      <c r="AA95" s="433">
        <v>96169.999999999782</v>
      </c>
      <c r="AB95" s="433">
        <v>0</v>
      </c>
      <c r="AC95" s="433">
        <v>684622.23359113361</v>
      </c>
      <c r="AD95" s="433">
        <v>0</v>
      </c>
      <c r="AE95" s="433">
        <v>0</v>
      </c>
      <c r="AF95" s="433">
        <v>152700</v>
      </c>
      <c r="AG95" s="433">
        <v>0</v>
      </c>
      <c r="AH95" s="433">
        <v>0</v>
      </c>
      <c r="AI95" s="433">
        <v>0</v>
      </c>
      <c r="AJ95" s="433">
        <v>33033</v>
      </c>
      <c r="AK95" s="433">
        <v>0</v>
      </c>
      <c r="AL95" s="433">
        <v>0</v>
      </c>
      <c r="AM95" s="433">
        <v>0</v>
      </c>
      <c r="AN95" s="433">
        <v>0</v>
      </c>
      <c r="AO95" s="433">
        <v>0</v>
      </c>
      <c r="AP95" s="433">
        <v>0</v>
      </c>
      <c r="AQ95" s="433">
        <v>0</v>
      </c>
      <c r="AR95" s="433">
        <v>0</v>
      </c>
      <c r="AS95" s="433">
        <v>8664620</v>
      </c>
      <c r="AT95" s="433">
        <v>2702175.2170165456</v>
      </c>
      <c r="AU95" s="433">
        <v>185733</v>
      </c>
      <c r="AV95" s="433">
        <v>1757820.6039983321</v>
      </c>
      <c r="AW95" s="433">
        <v>11552528.217016546</v>
      </c>
      <c r="AX95" s="434">
        <v>11519495.217016546</v>
      </c>
      <c r="AY95" s="434">
        <v>6640</v>
      </c>
      <c r="AZ95" s="434">
        <v>9628000</v>
      </c>
      <c r="BA95" s="434">
        <v>0</v>
      </c>
      <c r="BB95" s="434">
        <v>0</v>
      </c>
      <c r="BC95" s="434">
        <v>11552528.217016546</v>
      </c>
      <c r="BD95" s="434">
        <v>0</v>
      </c>
      <c r="BE95" s="433">
        <v>11552528.217016546</v>
      </c>
      <c r="BF95" s="433">
        <v>9661033</v>
      </c>
      <c r="BG95" s="434">
        <v>9475300</v>
      </c>
      <c r="BH95" s="434">
        <v>11366795.217016546</v>
      </c>
      <c r="BI95" s="433">
        <v>7839.1691151838249</v>
      </c>
      <c r="BJ95" s="433">
        <v>7409.2307164496233</v>
      </c>
      <c r="BK95" s="433">
        <v>5.8027400574755049E-2</v>
      </c>
      <c r="BL95" s="435">
        <v>-2.4277613186235399E-2</v>
      </c>
      <c r="BM95" s="433">
        <v>-260823.73414522971</v>
      </c>
      <c r="BN95" s="433">
        <v>11291704.482871316</v>
      </c>
      <c r="BO95" s="434">
        <v>7764.6010226698736</v>
      </c>
      <c r="BP95" s="434" t="s">
        <v>768</v>
      </c>
      <c r="BQ95" s="434">
        <v>7787.3824019802178</v>
      </c>
      <c r="BR95" s="434">
        <v>3.3477887248245963E-2</v>
      </c>
      <c r="BS95" s="659">
        <v>0</v>
      </c>
      <c r="BT95" s="433">
        <v>11291704.482871316</v>
      </c>
      <c r="BU95" s="433">
        <v>0</v>
      </c>
      <c r="BV95" s="433">
        <v>11291704.482871316</v>
      </c>
      <c r="BW95" s="433">
        <v>33033</v>
      </c>
      <c r="BX95" s="665">
        <v>11258671.482871316</v>
      </c>
      <c r="BY95" s="670"/>
      <c r="BZ95" s="380">
        <v>11258671.482871316</v>
      </c>
      <c r="CA95" s="380">
        <f t="shared" si="2"/>
        <v>0</v>
      </c>
    </row>
    <row r="96" spans="1:79" ht="14.5" x14ac:dyDescent="0.35">
      <c r="A96" s="430">
        <v>138622</v>
      </c>
      <c r="B96" s="430">
        <v>8314607</v>
      </c>
      <c r="C96" s="431" t="s">
        <v>146</v>
      </c>
      <c r="D96" s="430">
        <v>1362</v>
      </c>
      <c r="E96" s="432">
        <v>0</v>
      </c>
      <c r="F96" s="432">
        <v>1362</v>
      </c>
      <c r="G96" s="432">
        <v>0</v>
      </c>
      <c r="H96" s="433">
        <v>4986622</v>
      </c>
      <c r="I96" s="433">
        <v>3108850</v>
      </c>
      <c r="J96" s="433">
        <v>0</v>
      </c>
      <c r="K96" s="433">
        <v>241894.99999999951</v>
      </c>
      <c r="L96" s="433">
        <v>0</v>
      </c>
      <c r="M96" s="433">
        <v>865949.99999999988</v>
      </c>
      <c r="N96" s="433">
        <v>0</v>
      </c>
      <c r="O96" s="433">
        <v>0</v>
      </c>
      <c r="P96" s="433">
        <v>0</v>
      </c>
      <c r="Q96" s="433">
        <v>0</v>
      </c>
      <c r="R96" s="433">
        <v>0</v>
      </c>
      <c r="S96" s="433">
        <v>0</v>
      </c>
      <c r="T96" s="433">
        <v>49443.907284767753</v>
      </c>
      <c r="U96" s="433">
        <v>119403.00220750501</v>
      </c>
      <c r="V96" s="433">
        <v>76217.880794701923</v>
      </c>
      <c r="W96" s="433">
        <v>91080.61810154526</v>
      </c>
      <c r="X96" s="433">
        <v>124153.46578366416</v>
      </c>
      <c r="Y96" s="433">
        <v>140960.48565121344</v>
      </c>
      <c r="Z96" s="433">
        <v>0</v>
      </c>
      <c r="AA96" s="433">
        <v>225270.79411764682</v>
      </c>
      <c r="AB96" s="433">
        <v>0</v>
      </c>
      <c r="AC96" s="433">
        <v>554570.28551194968</v>
      </c>
      <c r="AD96" s="433">
        <v>0</v>
      </c>
      <c r="AE96" s="433">
        <v>0</v>
      </c>
      <c r="AF96" s="433">
        <v>152700</v>
      </c>
      <c r="AG96" s="433">
        <v>0</v>
      </c>
      <c r="AH96" s="433">
        <v>0</v>
      </c>
      <c r="AI96" s="433">
        <v>0</v>
      </c>
      <c r="AJ96" s="433">
        <v>31395</v>
      </c>
      <c r="AK96" s="433">
        <v>0</v>
      </c>
      <c r="AL96" s="433">
        <v>0</v>
      </c>
      <c r="AM96" s="433">
        <v>0</v>
      </c>
      <c r="AN96" s="433">
        <v>0</v>
      </c>
      <c r="AO96" s="433">
        <v>0</v>
      </c>
      <c r="AP96" s="433">
        <v>0</v>
      </c>
      <c r="AQ96" s="433">
        <v>0</v>
      </c>
      <c r="AR96" s="433">
        <v>0</v>
      </c>
      <c r="AS96" s="433">
        <v>8095472</v>
      </c>
      <c r="AT96" s="433">
        <v>2488945.4394529932</v>
      </c>
      <c r="AU96" s="433">
        <v>184095</v>
      </c>
      <c r="AV96" s="433">
        <v>1640162.3545248271</v>
      </c>
      <c r="AW96" s="433">
        <v>10768512.439452993</v>
      </c>
      <c r="AX96" s="434">
        <v>10737117.439452993</v>
      </c>
      <c r="AY96" s="434">
        <v>6640</v>
      </c>
      <c r="AZ96" s="434">
        <v>9043680</v>
      </c>
      <c r="BA96" s="434">
        <v>0</v>
      </c>
      <c r="BB96" s="434">
        <v>0</v>
      </c>
      <c r="BC96" s="434">
        <v>10768512.439452993</v>
      </c>
      <c r="BD96" s="434">
        <v>0</v>
      </c>
      <c r="BE96" s="433">
        <v>10768512.439452993</v>
      </c>
      <c r="BF96" s="433">
        <v>9075075</v>
      </c>
      <c r="BG96" s="434">
        <v>8890980</v>
      </c>
      <c r="BH96" s="434">
        <v>10584417.439452993</v>
      </c>
      <c r="BI96" s="433">
        <v>7771.2316001857507</v>
      </c>
      <c r="BJ96" s="433">
        <v>7375.3106278664727</v>
      </c>
      <c r="BK96" s="433">
        <v>5.36819386051825E-2</v>
      </c>
      <c r="BL96" s="435">
        <v>-2.1357462742682638E-2</v>
      </c>
      <c r="BM96" s="433">
        <v>-214539.40969640325</v>
      </c>
      <c r="BN96" s="433">
        <v>10553973.029756589</v>
      </c>
      <c r="BO96" s="434">
        <v>7725.8282156803152</v>
      </c>
      <c r="BP96" s="434" t="s">
        <v>768</v>
      </c>
      <c r="BQ96" s="434">
        <v>7748.8788764732662</v>
      </c>
      <c r="BR96" s="434">
        <v>3.2153390077214405E-2</v>
      </c>
      <c r="BS96" s="659">
        <v>0</v>
      </c>
      <c r="BT96" s="433">
        <v>10553973.029756589</v>
      </c>
      <c r="BU96" s="433">
        <v>0</v>
      </c>
      <c r="BV96" s="433">
        <v>10553973.029756589</v>
      </c>
      <c r="BW96" s="433">
        <v>31395</v>
      </c>
      <c r="BX96" s="665">
        <v>10522578.029756589</v>
      </c>
      <c r="BY96" s="670"/>
      <c r="BZ96" s="380">
        <v>10522578.029756589</v>
      </c>
      <c r="CA96" s="380">
        <f t="shared" si="2"/>
        <v>0</v>
      </c>
    </row>
    <row r="97" spans="1:79" ht="14.5" x14ac:dyDescent="0.35">
      <c r="A97" s="430">
        <v>136634</v>
      </c>
      <c r="B97" s="430">
        <v>8315412</v>
      </c>
      <c r="C97" s="431" t="s">
        <v>147</v>
      </c>
      <c r="D97" s="430">
        <v>1464</v>
      </c>
      <c r="E97" s="432">
        <v>0</v>
      </c>
      <c r="F97" s="432">
        <v>1464</v>
      </c>
      <c r="G97" s="432">
        <v>0</v>
      </c>
      <c r="H97" s="433">
        <v>5083284</v>
      </c>
      <c r="I97" s="433">
        <v>3653700</v>
      </c>
      <c r="J97" s="433">
        <v>0</v>
      </c>
      <c r="K97" s="433">
        <v>202000.00000000003</v>
      </c>
      <c r="L97" s="433">
        <v>0</v>
      </c>
      <c r="M97" s="433">
        <v>733124.99999999895</v>
      </c>
      <c r="N97" s="433">
        <v>0</v>
      </c>
      <c r="O97" s="433">
        <v>0</v>
      </c>
      <c r="P97" s="433">
        <v>0</v>
      </c>
      <c r="Q97" s="433">
        <v>0</v>
      </c>
      <c r="R97" s="433">
        <v>0</v>
      </c>
      <c r="S97" s="433">
        <v>0</v>
      </c>
      <c r="T97" s="433">
        <v>57959.999999999629</v>
      </c>
      <c r="U97" s="433">
        <v>113619.99999999967</v>
      </c>
      <c r="V97" s="433">
        <v>21449.999999999927</v>
      </c>
      <c r="W97" s="433">
        <v>107919.99999999911</v>
      </c>
      <c r="X97" s="433">
        <v>4559.9999999999945</v>
      </c>
      <c r="Y97" s="433">
        <v>13579.999999999993</v>
      </c>
      <c r="Z97" s="433">
        <v>0</v>
      </c>
      <c r="AA97" s="433">
        <v>11425.608755129935</v>
      </c>
      <c r="AB97" s="433">
        <v>0</v>
      </c>
      <c r="AC97" s="433">
        <v>516301.38272511301</v>
      </c>
      <c r="AD97" s="433">
        <v>0</v>
      </c>
      <c r="AE97" s="433">
        <v>0</v>
      </c>
      <c r="AF97" s="433">
        <v>152700</v>
      </c>
      <c r="AG97" s="433">
        <v>0</v>
      </c>
      <c r="AH97" s="433">
        <v>0</v>
      </c>
      <c r="AI97" s="433">
        <v>0</v>
      </c>
      <c r="AJ97" s="433">
        <v>33306</v>
      </c>
      <c r="AK97" s="433">
        <v>0</v>
      </c>
      <c r="AL97" s="433">
        <v>0</v>
      </c>
      <c r="AM97" s="433">
        <v>0</v>
      </c>
      <c r="AN97" s="433">
        <v>0</v>
      </c>
      <c r="AO97" s="433">
        <v>0</v>
      </c>
      <c r="AP97" s="433">
        <v>0</v>
      </c>
      <c r="AQ97" s="433">
        <v>0</v>
      </c>
      <c r="AR97" s="433">
        <v>0</v>
      </c>
      <c r="AS97" s="433">
        <v>8736984</v>
      </c>
      <c r="AT97" s="433">
        <v>1781941.9914802404</v>
      </c>
      <c r="AU97" s="433">
        <v>186006</v>
      </c>
      <c r="AV97" s="433">
        <v>1437075.8392170307</v>
      </c>
      <c r="AW97" s="433">
        <v>10704931.991480241</v>
      </c>
      <c r="AX97" s="434">
        <v>10671625.991480241</v>
      </c>
      <c r="AY97" s="434">
        <v>6640</v>
      </c>
      <c r="AZ97" s="434">
        <v>9720960</v>
      </c>
      <c r="BA97" s="434">
        <v>0</v>
      </c>
      <c r="BB97" s="434">
        <v>0</v>
      </c>
      <c r="BC97" s="434">
        <v>10704931.991480241</v>
      </c>
      <c r="BD97" s="434">
        <v>0</v>
      </c>
      <c r="BE97" s="433">
        <v>10704931.991480241</v>
      </c>
      <c r="BF97" s="433">
        <v>9754266</v>
      </c>
      <c r="BG97" s="434">
        <v>9568260</v>
      </c>
      <c r="BH97" s="434">
        <v>10518925.991480241</v>
      </c>
      <c r="BI97" s="433">
        <v>7185.0587373498911</v>
      </c>
      <c r="BJ97" s="433">
        <v>6905.2150028767128</v>
      </c>
      <c r="BK97" s="433">
        <v>4.0526433189494518E-2</v>
      </c>
      <c r="BL97" s="435">
        <v>-1.2516963103340318E-2</v>
      </c>
      <c r="BM97" s="433">
        <v>-126536.91854664069</v>
      </c>
      <c r="BN97" s="433">
        <v>10578395.072933599</v>
      </c>
      <c r="BO97" s="434">
        <v>7202.9296946267759</v>
      </c>
      <c r="BP97" s="434" t="s">
        <v>768</v>
      </c>
      <c r="BQ97" s="434">
        <v>7225.6796946267759</v>
      </c>
      <c r="BR97" s="434">
        <v>2.766014127304417E-2</v>
      </c>
      <c r="BS97" s="659">
        <v>0</v>
      </c>
      <c r="BT97" s="433">
        <v>10578395.072933599</v>
      </c>
      <c r="BU97" s="433">
        <v>0</v>
      </c>
      <c r="BV97" s="433">
        <v>10578395.072933599</v>
      </c>
      <c r="BW97" s="433">
        <v>33306</v>
      </c>
      <c r="BX97" s="665">
        <v>10545089.072933599</v>
      </c>
      <c r="BY97" s="670"/>
      <c r="BZ97" s="380">
        <v>10545089.072933599</v>
      </c>
      <c r="CA97" s="380">
        <f t="shared" si="2"/>
        <v>0</v>
      </c>
    </row>
    <row r="98" spans="1:79" ht="14.5" x14ac:dyDescent="0.35">
      <c r="A98" s="430">
        <v>137911</v>
      </c>
      <c r="B98" s="430">
        <v>8315414</v>
      </c>
      <c r="C98" s="431" t="s">
        <v>148</v>
      </c>
      <c r="D98" s="430">
        <v>1155</v>
      </c>
      <c r="E98" s="432">
        <v>0</v>
      </c>
      <c r="F98" s="432">
        <v>1155</v>
      </c>
      <c r="G98" s="432">
        <v>0</v>
      </c>
      <c r="H98" s="433">
        <v>3923340</v>
      </c>
      <c r="I98" s="433">
        <v>2980650</v>
      </c>
      <c r="J98" s="433">
        <v>0</v>
      </c>
      <c r="K98" s="433">
        <v>127259.9999999999</v>
      </c>
      <c r="L98" s="433">
        <v>0</v>
      </c>
      <c r="M98" s="433">
        <v>467474.99999999872</v>
      </c>
      <c r="N98" s="433">
        <v>0</v>
      </c>
      <c r="O98" s="433">
        <v>0</v>
      </c>
      <c r="P98" s="433">
        <v>0</v>
      </c>
      <c r="Q98" s="433">
        <v>0</v>
      </c>
      <c r="R98" s="433">
        <v>0</v>
      </c>
      <c r="S98" s="433">
        <v>0</v>
      </c>
      <c r="T98" s="433">
        <v>43507.668977469461</v>
      </c>
      <c r="U98" s="433">
        <v>30846.70710571923</v>
      </c>
      <c r="V98" s="433">
        <v>14312.391681109171</v>
      </c>
      <c r="W98" s="433">
        <v>32688.301559791973</v>
      </c>
      <c r="X98" s="433">
        <v>12931.195840554507</v>
      </c>
      <c r="Y98" s="433">
        <v>41746.143847486921</v>
      </c>
      <c r="Z98" s="433">
        <v>0</v>
      </c>
      <c r="AA98" s="433">
        <v>55468.024263431369</v>
      </c>
      <c r="AB98" s="433">
        <v>0</v>
      </c>
      <c r="AC98" s="433">
        <v>403622.94810377498</v>
      </c>
      <c r="AD98" s="433">
        <v>0</v>
      </c>
      <c r="AE98" s="433">
        <v>0</v>
      </c>
      <c r="AF98" s="433">
        <v>152700</v>
      </c>
      <c r="AG98" s="433">
        <v>0</v>
      </c>
      <c r="AH98" s="433">
        <v>0</v>
      </c>
      <c r="AI98" s="433">
        <v>0</v>
      </c>
      <c r="AJ98" s="433">
        <v>34671</v>
      </c>
      <c r="AK98" s="433">
        <v>0</v>
      </c>
      <c r="AL98" s="433">
        <v>0</v>
      </c>
      <c r="AM98" s="433">
        <v>0</v>
      </c>
      <c r="AN98" s="433">
        <v>0</v>
      </c>
      <c r="AO98" s="433">
        <v>0</v>
      </c>
      <c r="AP98" s="433">
        <v>0</v>
      </c>
      <c r="AQ98" s="433">
        <v>0</v>
      </c>
      <c r="AR98" s="433">
        <v>0</v>
      </c>
      <c r="AS98" s="433">
        <v>6903990</v>
      </c>
      <c r="AT98" s="433">
        <v>1229858.3813793364</v>
      </c>
      <c r="AU98" s="433">
        <v>187371</v>
      </c>
      <c r="AV98" s="433">
        <v>1073981.6196008609</v>
      </c>
      <c r="AW98" s="433">
        <v>8321219.3813793361</v>
      </c>
      <c r="AX98" s="434">
        <v>8286548.3813793361</v>
      </c>
      <c r="AY98" s="434">
        <v>6640</v>
      </c>
      <c r="AZ98" s="434">
        <v>7669200</v>
      </c>
      <c r="BA98" s="434">
        <v>0</v>
      </c>
      <c r="BB98" s="434">
        <v>0</v>
      </c>
      <c r="BC98" s="434">
        <v>8321219.3813793361</v>
      </c>
      <c r="BD98" s="434">
        <v>0</v>
      </c>
      <c r="BE98" s="433">
        <v>8321219.3813793371</v>
      </c>
      <c r="BF98" s="433">
        <v>7703871</v>
      </c>
      <c r="BG98" s="434">
        <v>7516500</v>
      </c>
      <c r="BH98" s="434">
        <v>8133848.3813793361</v>
      </c>
      <c r="BI98" s="433">
        <v>7042.2929708911997</v>
      </c>
      <c r="BJ98" s="433">
        <v>6757.2627084175083</v>
      </c>
      <c r="BK98" s="433">
        <v>4.2181320273167684E-2</v>
      </c>
      <c r="BL98" s="435">
        <v>-1.3629047223568684E-2</v>
      </c>
      <c r="BM98" s="433">
        <v>-106369.78570111953</v>
      </c>
      <c r="BN98" s="433">
        <v>8214849.5956782168</v>
      </c>
      <c r="BO98" s="434">
        <v>7082.4057105439106</v>
      </c>
      <c r="BP98" s="434" t="s">
        <v>768</v>
      </c>
      <c r="BQ98" s="434">
        <v>7112.4238923620924</v>
      </c>
      <c r="BR98" s="434">
        <v>2.8823096969261774E-2</v>
      </c>
      <c r="BS98" s="659">
        <v>0</v>
      </c>
      <c r="BT98" s="433">
        <v>8214849.5956782168</v>
      </c>
      <c r="BU98" s="433">
        <v>0</v>
      </c>
      <c r="BV98" s="433">
        <v>8214849.5956782168</v>
      </c>
      <c r="BW98" s="433">
        <v>34671</v>
      </c>
      <c r="BX98" s="665">
        <v>8180178.5956782168</v>
      </c>
      <c r="BY98" s="670"/>
      <c r="BZ98" s="380">
        <v>8180178.5956782168</v>
      </c>
      <c r="CA98" s="380">
        <f t="shared" si="2"/>
        <v>0</v>
      </c>
    </row>
    <row r="99" spans="1:79" ht="14.5" x14ac:dyDescent="0.35">
      <c r="A99" s="430">
        <v>135120</v>
      </c>
      <c r="B99" s="430">
        <v>8316905</v>
      </c>
      <c r="C99" s="431" t="s">
        <v>149</v>
      </c>
      <c r="D99" s="430">
        <v>1056</v>
      </c>
      <c r="E99" s="432">
        <v>0</v>
      </c>
      <c r="F99" s="432">
        <v>1056</v>
      </c>
      <c r="G99" s="432">
        <v>0</v>
      </c>
      <c r="H99" s="433">
        <v>3457088</v>
      </c>
      <c r="I99" s="433">
        <v>2871680</v>
      </c>
      <c r="J99" s="433">
        <v>0</v>
      </c>
      <c r="K99" s="433">
        <v>172204.99999999965</v>
      </c>
      <c r="L99" s="433">
        <v>0</v>
      </c>
      <c r="M99" s="433">
        <v>712424.99999999849</v>
      </c>
      <c r="N99" s="433">
        <v>0</v>
      </c>
      <c r="O99" s="433">
        <v>0</v>
      </c>
      <c r="P99" s="433">
        <v>0</v>
      </c>
      <c r="Q99" s="433">
        <v>0</v>
      </c>
      <c r="R99" s="433">
        <v>0</v>
      </c>
      <c r="S99" s="433">
        <v>0</v>
      </c>
      <c r="T99" s="433">
        <v>48989.999999999643</v>
      </c>
      <c r="U99" s="433">
        <v>61179.999999999658</v>
      </c>
      <c r="V99" s="433">
        <v>91649.999999999796</v>
      </c>
      <c r="W99" s="433">
        <v>88749.999999999913</v>
      </c>
      <c r="X99" s="433">
        <v>68399.999999999971</v>
      </c>
      <c r="Y99" s="433">
        <v>61109.999999999985</v>
      </c>
      <c r="Z99" s="433">
        <v>0</v>
      </c>
      <c r="AA99" s="433">
        <v>32786.28571428563</v>
      </c>
      <c r="AB99" s="433">
        <v>0</v>
      </c>
      <c r="AC99" s="433">
        <v>342104.38399280136</v>
      </c>
      <c r="AD99" s="433">
        <v>0</v>
      </c>
      <c r="AE99" s="433">
        <v>0</v>
      </c>
      <c r="AF99" s="433">
        <v>152700</v>
      </c>
      <c r="AG99" s="433">
        <v>0</v>
      </c>
      <c r="AH99" s="433">
        <v>0</v>
      </c>
      <c r="AI99" s="433">
        <v>0</v>
      </c>
      <c r="AJ99" s="433">
        <v>48321</v>
      </c>
      <c r="AK99" s="433">
        <v>0</v>
      </c>
      <c r="AL99" s="433">
        <v>0</v>
      </c>
      <c r="AM99" s="433">
        <v>0</v>
      </c>
      <c r="AN99" s="433">
        <v>0</v>
      </c>
      <c r="AO99" s="433">
        <v>0</v>
      </c>
      <c r="AP99" s="433">
        <v>0</v>
      </c>
      <c r="AQ99" s="433">
        <v>0</v>
      </c>
      <c r="AR99" s="433">
        <v>0</v>
      </c>
      <c r="AS99" s="433">
        <v>6328768</v>
      </c>
      <c r="AT99" s="433">
        <v>1679600.6697070843</v>
      </c>
      <c r="AU99" s="433">
        <v>201021</v>
      </c>
      <c r="AV99" s="433">
        <v>1176796.4977860327</v>
      </c>
      <c r="AW99" s="433">
        <v>8209389.6697070841</v>
      </c>
      <c r="AX99" s="434">
        <v>8161068.6697070841</v>
      </c>
      <c r="AY99" s="434">
        <v>6640</v>
      </c>
      <c r="AZ99" s="434">
        <v>7011840</v>
      </c>
      <c r="BA99" s="434">
        <v>0</v>
      </c>
      <c r="BB99" s="434">
        <v>0</v>
      </c>
      <c r="BC99" s="434">
        <v>8209389.6697070841</v>
      </c>
      <c r="BD99" s="434">
        <v>0</v>
      </c>
      <c r="BE99" s="433">
        <v>8209389.669707085</v>
      </c>
      <c r="BF99" s="433">
        <v>7060161</v>
      </c>
      <c r="BG99" s="434">
        <v>6859140</v>
      </c>
      <c r="BH99" s="434">
        <v>8008368.6697070841</v>
      </c>
      <c r="BI99" s="433">
        <v>7583.6824523741325</v>
      </c>
      <c r="BJ99" s="433">
        <v>7180.6828048249763</v>
      </c>
      <c r="BK99" s="433">
        <v>5.6122747446575035E-2</v>
      </c>
      <c r="BL99" s="435">
        <v>-2.2997686284098429E-2</v>
      </c>
      <c r="BM99" s="433">
        <v>-174386.87951623992</v>
      </c>
      <c r="BN99" s="433">
        <v>8035002.7901908439</v>
      </c>
      <c r="BO99" s="434">
        <v>7563.1456346504201</v>
      </c>
      <c r="BP99" s="434" t="s">
        <v>768</v>
      </c>
      <c r="BQ99" s="434">
        <v>7608.9041573776931</v>
      </c>
      <c r="BR99" s="434">
        <v>3.2693653673691037E-2</v>
      </c>
      <c r="BS99" s="659">
        <v>0</v>
      </c>
      <c r="BT99" s="433">
        <v>8035002.7901908439</v>
      </c>
      <c r="BU99" s="433">
        <v>0</v>
      </c>
      <c r="BV99" s="433">
        <v>8035002.7901908439</v>
      </c>
      <c r="BW99" s="433">
        <v>48321</v>
      </c>
      <c r="BX99" s="665">
        <v>7986681.7901908439</v>
      </c>
      <c r="BY99" s="670"/>
      <c r="BZ99" s="380">
        <v>7986681.7901908439</v>
      </c>
      <c r="CA99" s="380">
        <f t="shared" si="2"/>
        <v>0</v>
      </c>
    </row>
    <row r="100" spans="1:79" x14ac:dyDescent="0.25">
      <c r="A100" s="8"/>
      <c r="D100" s="8"/>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T100" s="10"/>
      <c r="BU100" s="10"/>
      <c r="BV100" s="10"/>
      <c r="BW100" s="10"/>
      <c r="BX100" s="666"/>
      <c r="BZ100" t="s">
        <v>150</v>
      </c>
      <c r="CA100" s="380"/>
    </row>
  </sheetData>
  <sheetProtection autoFilter="0"/>
  <autoFilter ref="A8:BY100" xr:uid="{B7042C53-69DA-4F9C-AB7B-371FA64206AE}"/>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CC Accountancy Content Type" ma:contentTypeID="0x01010004BD521946872F46B4F2D0AF3F92529C00153A98E735A6A34188CFE7DBA3B487D9" ma:contentTypeVersion="14" ma:contentTypeDescription="" ma:contentTypeScope="" ma:versionID="5f40c33cfd481c8f7c7e8bfa67a57971">
  <xsd:schema xmlns:xsd="http://www.w3.org/2001/XMLSchema" xmlns:xs="http://www.w3.org/2001/XMLSchema" xmlns:p="http://schemas.microsoft.com/office/2006/metadata/properties" xmlns:ns2="c10977b7-92b9-4299-ae05-b29d8274bb62" xmlns:ns3="4b328bda-8d4a-4676-9dcc-06ece99a7f63" targetNamespace="http://schemas.microsoft.com/office/2006/metadata/properties" ma:root="true" ma:fieldsID="9fc9845acbb93af5c02f7c733791103e" ns2:_="" ns3:_="">
    <xsd:import namespace="c10977b7-92b9-4299-ae05-b29d8274bb62"/>
    <xsd:import namespace="4b328bda-8d4a-4676-9dcc-06ece99a7f63"/>
    <xsd:element name="properties">
      <xsd:complexType>
        <xsd:sequence>
          <xsd:element name="documentManagement">
            <xsd:complexType>
              <xsd:all>
                <xsd:element ref="ns2:df9252e2a04c47ca90526ed0e8a7e706" minOccurs="0"/>
                <xsd:element ref="ns2:TaxCatchAll" minOccurs="0"/>
                <xsd:element ref="ns2:TaxCatchAllLabel" minOccurs="0"/>
                <xsd:element ref="ns2:Expired_x0020_or_x0020_superseded_x0020_da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0977b7-92b9-4299-ae05-b29d8274bb62" elementFormDefault="qualified">
    <xsd:import namespace="http://schemas.microsoft.com/office/2006/documentManagement/types"/>
    <xsd:import namespace="http://schemas.microsoft.com/office/infopath/2007/PartnerControls"/>
    <xsd:element name="df9252e2a04c47ca90526ed0e8a7e706" ma:index="8" ma:taxonomy="true" ma:internalName="df9252e2a04c47ca90526ed0e8a7e706" ma:taxonomyFieldName="Accountancy_x0020_Document_x0020_Type" ma:displayName="Doc Type - Accountancy Document Type" ma:readOnly="false" ma:default="" ma:fieldId="{df9252e2-a04c-47ca-9052-6ed0e8a7e706}" ma:sspId="09a85e69-29b1-4de8-be92-21c421ab9c31" ma:termSetId="8f3e837d-3349-4f57-8dbc-be2c3d0a064c"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02bfd9f-1df3-42dd-948e-915642f1cd24}" ma:internalName="TaxCatchAll" ma:showField="CatchAllData" ma:web="4b328bda-8d4a-4676-9dcc-06ece99a7f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02bfd9f-1df3-42dd-948e-915642f1cd24}" ma:internalName="TaxCatchAllLabel" ma:readOnly="true" ma:showField="CatchAllDataLabel" ma:web="4b328bda-8d4a-4676-9dcc-06ece99a7f63">
      <xsd:complexType>
        <xsd:complexContent>
          <xsd:extension base="dms:MultiChoiceLookup">
            <xsd:sequence>
              <xsd:element name="Value" type="dms:Lookup" maxOccurs="unbounded" minOccurs="0" nillable="true"/>
            </xsd:sequence>
          </xsd:extension>
        </xsd:complexContent>
      </xsd:complexType>
    </xsd:element>
    <xsd:element name="Expired_x0020_or_x0020_superseded_x0020_date" ma:index="12" nillable="true" ma:displayName="Start date of retention period" ma:description="The date the record expires or is superseded and from which retention is calculated." ma:format="DateOnly" ma:indexed="true" ma:internalName="Expired_x0020_or_x0020_superseded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b328bda-8d4a-4676-9dcc-06ece99a7f63"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09a85e69-29b1-4de8-be92-21c421ab9c31" ContentTypeId="0x01010004BD521946872F46B4F2D0AF3F92529C" PreviousValue="false" LastSyncTimeStamp="2022-11-04T14:44:53.11Z"/>
</file>

<file path=customXml/item5.xml><?xml version="1.0" encoding="utf-8"?>
<p:properties xmlns:p="http://schemas.microsoft.com/office/2006/metadata/properties" xmlns:xsi="http://www.w3.org/2001/XMLSchema-instance" xmlns:pc="http://schemas.microsoft.com/office/infopath/2007/PartnerControls">
  <documentManagement>
    <Expired_x0020_or_x0020_superseded_x0020_date xmlns="c10977b7-92b9-4299-ae05-b29d8274bb62" xsi:nil="true"/>
    <TaxCatchAll xmlns="c10977b7-92b9-4299-ae05-b29d8274bb62">
      <Value>10</Value>
    </TaxCatchAll>
    <df9252e2a04c47ca90526ed0e8a7e706 xmlns="c10977b7-92b9-4299-ae05-b29d8274bb62">
      <Terms xmlns="http://schemas.microsoft.com/office/infopath/2007/PartnerControls">
        <TermInfo xmlns="http://schemas.microsoft.com/office/infopath/2007/PartnerControls">
          <TermName xmlns="http://schemas.microsoft.com/office/infopath/2007/PartnerControls">6.19 Budget Books ((use end end of financial year to which records relate)</TermName>
          <TermId xmlns="http://schemas.microsoft.com/office/infopath/2007/PartnerControls">93d156ce-cb83-4d08-ba6a-b7868ed6c9e6</TermId>
        </TermInfo>
      </Terms>
    </df9252e2a04c47ca90526ed0e8a7e706>
    <_dlc_DocId xmlns="4b328bda-8d4a-4676-9dcc-06ece99a7f63">H5XUJKCY6AP7-2053300414-674667</_dlc_DocId>
    <_dlc_DocIdUrl xmlns="4b328bda-8d4a-4676-9dcc-06ece99a7f63">
      <Url>https://derby4.sharepoint.com/sites/Accountancy/_layouts/15/DocIdRedir.aspx?ID=H5XUJKCY6AP7-2053300414-674667</Url>
      <Description>H5XUJKCY6AP7-2053300414-674667</Description>
    </_dlc_DocIdUrl>
  </documentManagement>
</p:properties>
</file>

<file path=customXml/itemProps1.xml><?xml version="1.0" encoding="utf-8"?>
<ds:datastoreItem xmlns:ds="http://schemas.openxmlformats.org/officeDocument/2006/customXml" ds:itemID="{7C067BAB-DEDC-4E3A-A339-F6CFAF7BBC1A}">
  <ds:schemaRefs>
    <ds:schemaRef ds:uri="http://schemas.microsoft.com/sharepoint/v3/contenttype/forms"/>
  </ds:schemaRefs>
</ds:datastoreItem>
</file>

<file path=customXml/itemProps2.xml><?xml version="1.0" encoding="utf-8"?>
<ds:datastoreItem xmlns:ds="http://schemas.openxmlformats.org/officeDocument/2006/customXml" ds:itemID="{A8296373-D866-4BE9-A1D8-C674BE8BABF8}">
  <ds:schemaRefs>
    <ds:schemaRef ds:uri="http://schemas.microsoft.com/sharepoint/events"/>
  </ds:schemaRefs>
</ds:datastoreItem>
</file>

<file path=customXml/itemProps3.xml><?xml version="1.0" encoding="utf-8"?>
<ds:datastoreItem xmlns:ds="http://schemas.openxmlformats.org/officeDocument/2006/customXml" ds:itemID="{79ADC0FE-82BE-4777-A1FD-9ADE7F4FF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0977b7-92b9-4299-ae05-b29d8274bb62"/>
    <ds:schemaRef ds:uri="4b328bda-8d4a-4676-9dcc-06ece99a7f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EDE4A7-C90A-4F49-8F84-15ADF1D052F1}">
  <ds:schemaRefs>
    <ds:schemaRef ds:uri="Microsoft.SharePoint.Taxonomy.ContentTypeSync"/>
  </ds:schemaRefs>
</ds:datastoreItem>
</file>

<file path=customXml/itemProps5.xml><?xml version="1.0" encoding="utf-8"?>
<ds:datastoreItem xmlns:ds="http://schemas.openxmlformats.org/officeDocument/2006/customXml" ds:itemID="{E0CF482D-1ED6-485A-8E29-B0F66945713A}">
  <ds:schemaRef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schemas.microsoft.com/office/2006/metadata/properties"/>
    <ds:schemaRef ds:uri="4b328bda-8d4a-4676-9dcc-06ece99a7f63"/>
    <ds:schemaRef ds:uri="http://www.w3.org/XML/1998/namespace"/>
    <ds:schemaRef ds:uri="c10977b7-92b9-4299-ae05-b29d8274bb62"/>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PVI Early Years</vt:lpstr>
      <vt:lpstr>Schools Summary</vt:lpstr>
      <vt:lpstr>Schools Block</vt:lpstr>
      <vt:lpstr>Early Years</vt:lpstr>
      <vt:lpstr>Special &amp; PRU</vt:lpstr>
      <vt:lpstr>ERS</vt:lpstr>
      <vt:lpstr>'PVI Early Years'!Early_Years_Budget_Detail_2024_25</vt:lpstr>
      <vt:lpstr>Early_Years_Budget_Detail_2024_25</vt:lpstr>
      <vt:lpstr>Main_Summary</vt:lpstr>
      <vt:lpstr>'Early Years'!Print_Area</vt:lpstr>
      <vt:lpstr>'PVI Early Years'!Print_Area</vt:lpstr>
      <vt:lpstr>'Schools Block'!Print_Area</vt:lpstr>
      <vt:lpstr>'Special &amp; PRU'!Print_Area</vt:lpstr>
      <vt:lpstr>Schools_Block_Budget_Detail_2024_25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School and Nursery Budget 2026-27</dc:title>
  <dc:subject/>
  <dc:creator>Chris Holmes</dc:creator>
  <cp:keywords/>
  <dc:description/>
  <cp:lastModifiedBy>April Lunn</cp:lastModifiedBy>
  <cp:revision/>
  <cp:lastPrinted>2025-02-18T09:15:48Z</cp:lastPrinted>
  <dcterms:created xsi:type="dcterms:W3CDTF">2023-10-27T11:11:48Z</dcterms:created>
  <dcterms:modified xsi:type="dcterms:W3CDTF">2026-02-27T10:28:29Z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100</vt:r8>
  </property>
  <property fmtid="{D5CDD505-2E9C-101B-9397-08002B2CF9AE}" pid="3" name="MediaServiceImageTags">
    <vt:lpwstr/>
  </property>
  <property fmtid="{D5CDD505-2E9C-101B-9397-08002B2CF9AE}" pid="4" name="ContentTypeId">
    <vt:lpwstr>0x01010004BD521946872F46B4F2D0AF3F92529C00153A98E735A6A34188CFE7DBA3B487D9</vt:lpwstr>
  </property>
  <property fmtid="{D5CDD505-2E9C-101B-9397-08002B2CF9AE}" pid="5" name="lcf76f155ced4ddcb4097134ff3c332f">
    <vt:lpwstr/>
  </property>
  <property fmtid="{D5CDD505-2E9C-101B-9397-08002B2CF9AE}" pid="6" name="DCCClassification">
    <vt:lpwstr>OFFICIAL</vt:lpwstr>
  </property>
  <property fmtid="{D5CDD505-2E9C-101B-9397-08002B2CF9AE}" pid="7" name="_dlc_DocIdItemGuid">
    <vt:lpwstr>aa4080e9-27b8-42ce-9c1b-ee409ee78673</vt:lpwstr>
  </property>
  <property fmtid="{D5CDD505-2E9C-101B-9397-08002B2CF9AE}" pid="8" name="Accountancy Document Type">
    <vt:lpwstr>10;#6.19 Budget Books ((use end end of financial year to which records relate)|93d156ce-cb83-4d08-ba6a-b7868ed6c9e6</vt:lpwstr>
  </property>
  <property fmtid="{D5CDD505-2E9C-101B-9397-08002B2CF9AE}" pid="9" name="Classification">
    <vt:lpwstr>OFFICIAL</vt:lpwstr>
  </property>
  <property fmtid="{D5CDD505-2E9C-101B-9397-08002B2CF9AE}" pid="10" name="TitusGUID">
    <vt:lpwstr>824d2da9-5ca0-41cb-9ff2-4de9ebf057eb</vt:lpwstr>
  </property>
  <property fmtid="{D5CDD505-2E9C-101B-9397-08002B2CF9AE}" pid="11" name="SharedWithUsers">
    <vt:lpwstr>107;#Jemma Gaunt;#89;#Janice Hadfield;#133;#Chris Holmes</vt:lpwstr>
  </property>
  <property fmtid="{D5CDD505-2E9C-101B-9397-08002B2CF9AE}" pid="12" name="Accountancy_x0020_Document_x0020_Type">
    <vt:lpwstr>10;#6.19 Budget Books ((use end end of financial year to which records relate)|93d156ce-cb83-4d08-ba6a-b7868ed6c9e6</vt:lpwstr>
  </property>
</Properties>
</file>