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https://derby4.sharepoint.com/sites/Accountancy/Shared Documents/Budget/202526/DSG/Uploaded on to the website/"/>
    </mc:Choice>
  </mc:AlternateContent>
  <xr:revisionPtr revIDLastSave="16" documentId="8_{70A57B1C-DBC1-4F52-83C0-AD642E17E12F}" xr6:coauthVersionLast="47" xr6:coauthVersionMax="47" xr10:uidLastSave="{4E79C9C0-BE8F-47C0-88FF-D5B8A2B5F36D}"/>
  <bookViews>
    <workbookView xWindow="-110" yWindow="-110" windowWidth="19420" windowHeight="10300" tabRatio="937" xr2:uid="{00000000-000D-0000-FFFF-FFFF00000000}"/>
  </bookViews>
  <sheets>
    <sheet name="PVI Early Years" sheetId="119" r:id="rId1"/>
    <sheet name="Schools Summary" sheetId="114" r:id="rId2"/>
    <sheet name="Schools Block" sheetId="84" r:id="rId3"/>
    <sheet name="Early Years" sheetId="109" r:id="rId4"/>
    <sheet name="Special &amp; PRU" sheetId="127" r:id="rId5"/>
    <sheet name="ERS" sheetId="128" r:id="rId6"/>
    <sheet name="High Needs" sheetId="126" state="hidden" r:id="rId7"/>
    <sheet name="Adjusted Factors" sheetId="130" state="hidden" r:id="rId8"/>
    <sheet name="ISB new" sheetId="100" state="hidden" r:id="rId9"/>
    <sheet name="De-del" sheetId="103" state="hidden" r:id="rId10"/>
    <sheet name="3&amp;4 Yo" sheetId="122" state="hidden" r:id="rId11"/>
    <sheet name="Additional Support 2 yo" sheetId="123" state="hidden" r:id="rId12"/>
    <sheet name="Working 2 yo" sheetId="124" state="hidden" r:id="rId13"/>
    <sheet name="Under 2s" sheetId="125" state="hidden" r:id="rId14"/>
    <sheet name="Combined Lookup" sheetId="115" state="hidden" r:id="rId15"/>
    <sheet name="Schools Lookup" sheetId="112" state="hidden" r:id="rId16"/>
    <sheet name="PVI Provider Lookup" sheetId="35" state="hidden" r:id="rId17"/>
    <sheet name="Special Schools List" sheetId="38" state="hidden" r:id="rId18"/>
    <sheet name="Lookup list backup" sheetId="113" state="hidden" r:id="rId19"/>
    <sheet name="Factor Values" sheetId="131" state="hidden" r:id="rId20"/>
  </sheets>
  <definedNames>
    <definedName name="_xlnm._FilterDatabase" localSheetId="11" hidden="1">'Additional Support 2 yo'!$A$4:$N$213</definedName>
    <definedName name="_xlnm._FilterDatabase" localSheetId="14" hidden="1">'Combined Lookup'!$A$6:$D$265</definedName>
    <definedName name="_xlnm._FilterDatabase" localSheetId="8" hidden="1">'ISB new'!$A$8:$BZ$100</definedName>
    <definedName name="_xlnm._FilterDatabase" localSheetId="16" hidden="1">'PVI Provider Lookup'!$A$6:$E$166</definedName>
    <definedName name="_xlnm._FilterDatabase" localSheetId="15" hidden="1">'Schools Lookup'!$A$6:$AB$105</definedName>
    <definedName name="_xlnm._FilterDatabase" localSheetId="13" hidden="1">'Under 2s'!$A$4:$N$213</definedName>
    <definedName name="_xlnm._FilterDatabase" localSheetId="12" hidden="1">'Working 2 yo'!$A$4:$N$216</definedName>
    <definedName name="Early_Years_Budget_Detail_2024_25" localSheetId="0">'PVI Early Years'!$B$8</definedName>
    <definedName name="Early_Years_Budget_Detail_2024_25">'Early Years'!$B$8</definedName>
    <definedName name="Fringe_multiplier">#REF!</definedName>
    <definedName name="Main_Summary">'Schools Summary'!$B$12</definedName>
    <definedName name="_xlnm.Print_Area" localSheetId="3">'Early Years'!$A$1:$I$31</definedName>
    <definedName name="_xlnm.Print_Area" localSheetId="0">'PVI Early Years'!$A$1:$I$28</definedName>
    <definedName name="_xlnm.Print_Area" localSheetId="2">'Schools Block'!$B$1:$L$84</definedName>
    <definedName name="_xlnm.Print_Area" localSheetId="4">'Special &amp; PRU'!$A$1:$M$18</definedName>
    <definedName name="Schools_Block_Budget_Detail_2024_25">'Schools Block'!$B$7</definedName>
    <definedName name="TableName">"Dummy"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112" l="1"/>
  <c r="L15" i="127"/>
  <c r="L14" i="127"/>
  <c r="L12" i="127"/>
  <c r="L11" i="127"/>
  <c r="L10" i="127"/>
  <c r="L9" i="127"/>
  <c r="L8" i="127"/>
  <c r="L7" i="127"/>
  <c r="AX13" i="122"/>
  <c r="A8" i="112" l="1"/>
  <c r="A9" i="112"/>
  <c r="A10" i="112"/>
  <c r="A11" i="112"/>
  <c r="A12" i="112"/>
  <c r="A13" i="112"/>
  <c r="A14" i="112"/>
  <c r="A15" i="112"/>
  <c r="A16" i="112"/>
  <c r="A17" i="112"/>
  <c r="A18" i="112"/>
  <c r="A19" i="112"/>
  <c r="A20" i="112"/>
  <c r="A21" i="112"/>
  <c r="A22" i="112"/>
  <c r="A23" i="112"/>
  <c r="A24" i="112"/>
  <c r="A25" i="112"/>
  <c r="A26" i="112"/>
  <c r="A27" i="112"/>
  <c r="A28" i="112"/>
  <c r="A29" i="112"/>
  <c r="A30" i="112"/>
  <c r="A31" i="112"/>
  <c r="A32" i="112"/>
  <c r="A33" i="112"/>
  <c r="A34" i="112"/>
  <c r="A35" i="112"/>
  <c r="A36" i="112"/>
  <c r="A37" i="112"/>
  <c r="A38" i="112"/>
  <c r="A39" i="112"/>
  <c r="A40" i="112"/>
  <c r="A41" i="112"/>
  <c r="A42" i="112"/>
  <c r="A43" i="112"/>
  <c r="A44" i="112"/>
  <c r="A45" i="112"/>
  <c r="A46" i="112"/>
  <c r="A47" i="112"/>
  <c r="A48" i="112"/>
  <c r="A49" i="112"/>
  <c r="A50" i="112"/>
  <c r="A51" i="112"/>
  <c r="A52" i="112"/>
  <c r="A53" i="112"/>
  <c r="A54" i="112"/>
  <c r="A55" i="112"/>
  <c r="A56" i="112"/>
  <c r="A57" i="112"/>
  <c r="A58" i="112"/>
  <c r="A59" i="112"/>
  <c r="A60" i="112"/>
  <c r="A61" i="112"/>
  <c r="A62" i="112"/>
  <c r="A63" i="112"/>
  <c r="A64" i="112"/>
  <c r="A65" i="112"/>
  <c r="A66" i="112"/>
  <c r="A67" i="112"/>
  <c r="A68" i="112"/>
  <c r="A69" i="112"/>
  <c r="A70" i="112"/>
  <c r="A71" i="112"/>
  <c r="A72" i="112"/>
  <c r="A73" i="112"/>
  <c r="A74" i="112"/>
  <c r="A75" i="112"/>
  <c r="A76" i="112"/>
  <c r="A77" i="112"/>
  <c r="A78" i="112"/>
  <c r="A79" i="112"/>
  <c r="A80" i="112"/>
  <c r="A81" i="112"/>
  <c r="A82" i="112"/>
  <c r="A83" i="112"/>
  <c r="A84" i="112"/>
  <c r="A85" i="112"/>
  <c r="A86" i="112"/>
  <c r="A87" i="112"/>
  <c r="A88" i="112"/>
  <c r="A89" i="112"/>
  <c r="A90" i="112"/>
  <c r="A91" i="112"/>
  <c r="A92" i="112"/>
  <c r="A93" i="112"/>
  <c r="A94" i="112"/>
  <c r="A95" i="112"/>
  <c r="A96" i="112"/>
  <c r="A98" i="112"/>
  <c r="A99" i="112"/>
  <c r="A100" i="112"/>
  <c r="A101" i="112"/>
  <c r="A102" i="112"/>
  <c r="A103" i="112"/>
  <c r="A104" i="112"/>
  <c r="A105" i="112"/>
  <c r="A7" i="112"/>
  <c r="I15" i="127"/>
  <c r="H15" i="127"/>
  <c r="B15" i="127"/>
  <c r="F15" i="127"/>
  <c r="E15" i="127"/>
  <c r="I14" i="127"/>
  <c r="C14" i="127"/>
  <c r="D14" i="127" s="1"/>
  <c r="D12" i="127"/>
  <c r="C12" i="127"/>
  <c r="I12" i="127"/>
  <c r="F12" i="127"/>
  <c r="E12" i="127"/>
  <c r="F12" i="114" l="1"/>
  <c r="B11" i="84" s="1"/>
  <c r="H12" i="127"/>
  <c r="G12" i="127"/>
  <c r="E45" i="84"/>
  <c r="E44" i="84"/>
  <c r="D42" i="84"/>
  <c r="D41" i="84"/>
  <c r="D39" i="84"/>
  <c r="D38" i="84"/>
  <c r="E29" i="84"/>
  <c r="E30" i="84"/>
  <c r="E31" i="84"/>
  <c r="E32" i="84"/>
  <c r="E33" i="84"/>
  <c r="E34" i="84"/>
  <c r="E35" i="84"/>
  <c r="E28" i="84"/>
  <c r="D29" i="84"/>
  <c r="D30" i="84"/>
  <c r="D31" i="84"/>
  <c r="D32" i="84"/>
  <c r="D33" i="84"/>
  <c r="D34" i="84"/>
  <c r="D35" i="84"/>
  <c r="D28" i="84"/>
  <c r="F20" i="84"/>
  <c r="E19" i="84"/>
  <c r="D18" i="84"/>
  <c r="D50" i="131"/>
  <c r="D49" i="131"/>
  <c r="D43" i="131"/>
  <c r="D42" i="131"/>
  <c r="D39" i="131"/>
  <c r="D38" i="131"/>
  <c r="D34" i="131"/>
  <c r="D33" i="131"/>
  <c r="D30" i="131"/>
  <c r="D27" i="131"/>
  <c r="D26" i="131"/>
  <c r="D25" i="131"/>
  <c r="D24" i="131"/>
  <c r="D23" i="131"/>
  <c r="D22" i="131"/>
  <c r="D21" i="131"/>
  <c r="D20" i="131"/>
  <c r="D18" i="131"/>
  <c r="D17" i="131"/>
  <c r="D16" i="131"/>
  <c r="D15" i="131"/>
  <c r="D14" i="131"/>
  <c r="D13" i="131"/>
  <c r="D12" i="131"/>
  <c r="D11" i="131"/>
  <c r="D7" i="131"/>
  <c r="D6" i="131"/>
  <c r="D5" i="131"/>
  <c r="F13" i="109" l="1"/>
  <c r="E18" i="109" s="1"/>
  <c r="G9" i="84"/>
  <c r="G41" i="84" s="1"/>
  <c r="C17" i="114"/>
  <c r="G15" i="127"/>
  <c r="G42" i="84" l="1"/>
  <c r="D49" i="84"/>
  <c r="G44" i="84"/>
  <c r="F17" i="109"/>
  <c r="H23" i="109"/>
  <c r="G31" i="84"/>
  <c r="D53" i="84"/>
  <c r="G38" i="84"/>
  <c r="G19" i="84"/>
  <c r="G18" i="84"/>
  <c r="F30" i="84"/>
  <c r="G33" i="84"/>
  <c r="G30" i="84"/>
  <c r="G29" i="84"/>
  <c r="D51" i="84"/>
  <c r="B13" i="109"/>
  <c r="H25" i="109"/>
  <c r="G20" i="84"/>
  <c r="F73" i="84"/>
  <c r="G23" i="84" s="1"/>
  <c r="I64" i="84"/>
  <c r="G28" i="109"/>
  <c r="E17" i="109"/>
  <c r="G45" i="84"/>
  <c r="F32" i="84"/>
  <c r="F28" i="84"/>
  <c r="G18" i="109"/>
  <c r="F34" i="84"/>
  <c r="F35" i="84"/>
  <c r="G32" i="84"/>
  <c r="F33" i="84"/>
  <c r="H24" i="109"/>
  <c r="F18" i="109"/>
  <c r="G34" i="84"/>
  <c r="G35" i="84"/>
  <c r="G28" i="84"/>
  <c r="F29" i="84"/>
  <c r="F28" i="109"/>
  <c r="E28" i="109"/>
  <c r="D47" i="84"/>
  <c r="G39" i="84"/>
  <c r="G73" i="84"/>
  <c r="G24" i="84" s="1"/>
  <c r="F31" i="84"/>
  <c r="H27" i="109"/>
  <c r="G17" i="109"/>
  <c r="F38" i="103"/>
  <c r="E38" i="103"/>
  <c r="F37" i="103"/>
  <c r="E37" i="103"/>
  <c r="F36" i="103"/>
  <c r="H36" i="103" s="1"/>
  <c r="E36" i="103"/>
  <c r="G36" i="103" s="1"/>
  <c r="F35" i="103"/>
  <c r="E35" i="103"/>
  <c r="F34" i="103"/>
  <c r="E34" i="103"/>
  <c r="F33" i="103"/>
  <c r="E33" i="103"/>
  <c r="F32" i="103"/>
  <c r="E32" i="103"/>
  <c r="F31" i="103"/>
  <c r="E31" i="103"/>
  <c r="F30" i="103"/>
  <c r="E30" i="103"/>
  <c r="F29" i="103"/>
  <c r="E29" i="103"/>
  <c r="F28" i="103"/>
  <c r="E28" i="103"/>
  <c r="F27" i="103"/>
  <c r="E27" i="103"/>
  <c r="F26" i="103"/>
  <c r="E26" i="103"/>
  <c r="F25" i="103"/>
  <c r="E25" i="103"/>
  <c r="F24" i="103"/>
  <c r="E24" i="103"/>
  <c r="F23" i="103"/>
  <c r="E23" i="103"/>
  <c r="F22" i="103"/>
  <c r="E22" i="103"/>
  <c r="F21" i="103"/>
  <c r="E21" i="103"/>
  <c r="F20" i="103"/>
  <c r="E20" i="103"/>
  <c r="F19" i="103"/>
  <c r="E19" i="103"/>
  <c r="F18" i="103"/>
  <c r="E18" i="103"/>
  <c r="F17" i="103"/>
  <c r="E17" i="103"/>
  <c r="F16" i="103"/>
  <c r="E16" i="103"/>
  <c r="F15" i="103"/>
  <c r="E15" i="103"/>
  <c r="F14" i="103"/>
  <c r="E14" i="103"/>
  <c r="F13" i="103"/>
  <c r="E13" i="103"/>
  <c r="H28" i="109" l="1"/>
  <c r="H18" i="109"/>
  <c r="H17" i="109"/>
  <c r="N36" i="103"/>
  <c r="P53" i="84" l="1"/>
  <c r="H18" i="84"/>
  <c r="P18" i="84"/>
  <c r="P55" i="84"/>
  <c r="P59" i="84"/>
  <c r="P25" i="84"/>
  <c r="P41" i="84"/>
  <c r="P30" i="84"/>
  <c r="P64" i="84"/>
  <c r="P39" i="84"/>
  <c r="P29" i="84"/>
  <c r="P38" i="84"/>
  <c r="P28" i="84"/>
  <c r="P49" i="84"/>
  <c r="P47" i="84"/>
  <c r="P34" i="84"/>
  <c r="P31" i="84"/>
  <c r="P51" i="84"/>
  <c r="P35" i="84"/>
  <c r="P33" i="84"/>
  <c r="P45" i="84"/>
  <c r="P44" i="84"/>
  <c r="P32" i="84"/>
  <c r="P42" i="84"/>
  <c r="P20" i="84"/>
  <c r="P19" i="84"/>
  <c r="R36" i="126" l="1"/>
  <c r="C8" i="128" l="1"/>
  <c r="D8" i="128"/>
  <c r="C9" i="128"/>
  <c r="D9" i="128"/>
  <c r="C10" i="128"/>
  <c r="D10" i="128"/>
  <c r="C11" i="128"/>
  <c r="D11" i="128"/>
  <c r="C12" i="128"/>
  <c r="D12" i="128"/>
  <c r="C13" i="128"/>
  <c r="D13" i="128"/>
  <c r="C14" i="128"/>
  <c r="F14" i="128" s="1"/>
  <c r="D14" i="128"/>
  <c r="C15" i="128"/>
  <c r="F15" i="128" s="1"/>
  <c r="D15" i="128"/>
  <c r="C16" i="128"/>
  <c r="D16" i="128"/>
  <c r="C17" i="128"/>
  <c r="D17" i="128"/>
  <c r="C18" i="128"/>
  <c r="D18" i="128"/>
  <c r="C19" i="128"/>
  <c r="F19" i="128" s="1"/>
  <c r="D19" i="128"/>
  <c r="C20" i="128"/>
  <c r="D20" i="128"/>
  <c r="C21" i="128"/>
  <c r="D21" i="128"/>
  <c r="C7" i="128"/>
  <c r="D7" i="128"/>
  <c r="F7" i="128" l="1"/>
  <c r="F17" i="128"/>
  <c r="F13" i="128"/>
  <c r="F9" i="128"/>
  <c r="F10" i="128"/>
  <c r="E21" i="128"/>
  <c r="G21" i="128" s="1"/>
  <c r="E20" i="128"/>
  <c r="F16" i="128"/>
  <c r="E12" i="128"/>
  <c r="F12" i="128"/>
  <c r="F8" i="128"/>
  <c r="E19" i="128"/>
  <c r="E9" i="128"/>
  <c r="E15" i="128"/>
  <c r="E11" i="128"/>
  <c r="G11" i="128" s="1"/>
  <c r="E10" i="128"/>
  <c r="E14" i="128"/>
  <c r="E17" i="128"/>
  <c r="G17" i="128" s="1"/>
  <c r="E13" i="128"/>
  <c r="G13" i="128" s="1"/>
  <c r="E7" i="128"/>
  <c r="E18" i="128"/>
  <c r="G18" i="128" s="1"/>
  <c r="E16" i="128"/>
  <c r="G16" i="128" s="1"/>
  <c r="E8" i="128"/>
  <c r="G7" i="128"/>
  <c r="G14" i="128"/>
  <c r="D23" i="128"/>
  <c r="G20" i="128"/>
  <c r="C23" i="128"/>
  <c r="J11" i="127"/>
  <c r="J17" i="127" s="1"/>
  <c r="I10" i="127"/>
  <c r="I11" i="127"/>
  <c r="I9" i="127"/>
  <c r="I8" i="127"/>
  <c r="I7" i="127"/>
  <c r="C10" i="127"/>
  <c r="D10" i="127"/>
  <c r="C11" i="127"/>
  <c r="D11" i="127"/>
  <c r="D9" i="127"/>
  <c r="C9" i="127"/>
  <c r="C8" i="127"/>
  <c r="D8" i="127"/>
  <c r="E10" i="127"/>
  <c r="F10" i="127"/>
  <c r="E11" i="127"/>
  <c r="F11" i="127"/>
  <c r="E14" i="127"/>
  <c r="F14" i="127"/>
  <c r="F9" i="127"/>
  <c r="E9" i="127"/>
  <c r="E8" i="127"/>
  <c r="F8" i="127"/>
  <c r="F7" i="127"/>
  <c r="E7" i="127"/>
  <c r="D7" i="127"/>
  <c r="C7" i="127"/>
  <c r="F13" i="119"/>
  <c r="B46" i="35"/>
  <c r="B50" i="35"/>
  <c r="B92" i="35"/>
  <c r="B94" i="35"/>
  <c r="B97" i="35"/>
  <c r="B32" i="35"/>
  <c r="B91" i="35"/>
  <c r="B89" i="35"/>
  <c r="B71" i="35"/>
  <c r="B108" i="35"/>
  <c r="B47" i="35"/>
  <c r="B38" i="35"/>
  <c r="B48" i="35"/>
  <c r="B144" i="35"/>
  <c r="B35" i="35"/>
  <c r="B53" i="35"/>
  <c r="B68" i="35"/>
  <c r="B70" i="35"/>
  <c r="B122" i="35"/>
  <c r="B121" i="35"/>
  <c r="B18" i="35"/>
  <c r="B164" i="35"/>
  <c r="B12" i="35"/>
  <c r="AL28" i="126"/>
  <c r="F23" i="128" l="1"/>
  <c r="G9" i="128"/>
  <c r="G19" i="128"/>
  <c r="G15" i="128"/>
  <c r="G8" i="128"/>
  <c r="G12" i="128"/>
  <c r="G10" i="128"/>
  <c r="E23" i="128"/>
  <c r="H25" i="119"/>
  <c r="F17" i="119"/>
  <c r="H24" i="119"/>
  <c r="F18" i="119"/>
  <c r="H23" i="119"/>
  <c r="E17" i="119"/>
  <c r="H17" i="119" s="1"/>
  <c r="E18" i="119"/>
  <c r="G18" i="119"/>
  <c r="G17" i="119"/>
  <c r="I17" i="127"/>
  <c r="G11" i="127"/>
  <c r="E17" i="127"/>
  <c r="F17" i="127"/>
  <c r="H14" i="127"/>
  <c r="C17" i="127"/>
  <c r="G7" i="127"/>
  <c r="H8" i="127"/>
  <c r="H9" i="127"/>
  <c r="G10" i="127"/>
  <c r="D17" i="127"/>
  <c r="H7" i="127"/>
  <c r="G14" i="127"/>
  <c r="G8" i="127"/>
  <c r="G9" i="127"/>
  <c r="H10" i="127"/>
  <c r="H11" i="127"/>
  <c r="G23" i="128" l="1"/>
  <c r="H18" i="119"/>
  <c r="H17" i="127"/>
  <c r="G17" i="127"/>
  <c r="L218" i="122"/>
  <c r="K214" i="122"/>
  <c r="H211" i="122"/>
  <c r="I211" i="122" s="1"/>
  <c r="F211" i="122"/>
  <c r="G211" i="122" s="1"/>
  <c r="L17" i="127" l="1"/>
  <c r="L220" i="122"/>
  <c r="L217" i="122"/>
  <c r="L216" i="122"/>
  <c r="L215" i="122"/>
  <c r="L219" i="122"/>
  <c r="L221" i="122"/>
  <c r="L214" i="122" l="1"/>
  <c r="L211" i="125"/>
  <c r="L209" i="123"/>
  <c r="K207" i="123"/>
  <c r="K206" i="123"/>
  <c r="K205" i="123"/>
  <c r="K204" i="123"/>
  <c r="K203" i="123"/>
  <c r="K202" i="123"/>
  <c r="K201" i="123"/>
  <c r="K200" i="123"/>
  <c r="K199" i="123"/>
  <c r="K198" i="123"/>
  <c r="K197" i="123"/>
  <c r="K196" i="123"/>
  <c r="K195" i="123"/>
  <c r="K194" i="123"/>
  <c r="K193" i="123"/>
  <c r="K192" i="123"/>
  <c r="K191" i="123"/>
  <c r="K190" i="123"/>
  <c r="K189" i="123"/>
  <c r="K188" i="123"/>
  <c r="K187" i="123"/>
  <c r="K186" i="123"/>
  <c r="K185" i="123"/>
  <c r="K184" i="123"/>
  <c r="K183" i="123"/>
  <c r="K181" i="123"/>
  <c r="K180" i="123"/>
  <c r="K179" i="123"/>
  <c r="K178" i="123"/>
  <c r="K177" i="123"/>
  <c r="K176" i="123"/>
  <c r="K175" i="123"/>
  <c r="K174" i="123"/>
  <c r="K173" i="123"/>
  <c r="K172" i="123"/>
  <c r="K171" i="123"/>
  <c r="K170" i="123"/>
  <c r="K169" i="123"/>
  <c r="K168" i="123"/>
  <c r="K167" i="123"/>
  <c r="K166" i="123"/>
  <c r="K165" i="123"/>
  <c r="K164" i="123"/>
  <c r="K163" i="123"/>
  <c r="K162" i="123"/>
  <c r="K161" i="123"/>
  <c r="K160" i="123"/>
  <c r="K159" i="123"/>
  <c r="K158" i="123"/>
  <c r="K157" i="123"/>
  <c r="K156" i="123"/>
  <c r="K155" i="123"/>
  <c r="K154" i="123"/>
  <c r="K153" i="123"/>
  <c r="K152" i="123"/>
  <c r="K151" i="123"/>
  <c r="K150" i="123"/>
  <c r="K149" i="123"/>
  <c r="K148" i="123"/>
  <c r="K147" i="123"/>
  <c r="K146" i="123"/>
  <c r="K145" i="123"/>
  <c r="K144" i="123"/>
  <c r="K143" i="123"/>
  <c r="K142" i="123"/>
  <c r="K141" i="123"/>
  <c r="K140" i="123"/>
  <c r="K139" i="123"/>
  <c r="K138" i="123"/>
  <c r="K137" i="123"/>
  <c r="K136" i="123"/>
  <c r="K135" i="123"/>
  <c r="K134" i="123"/>
  <c r="K133" i="123"/>
  <c r="K132" i="123"/>
  <c r="K131" i="123"/>
  <c r="K130" i="123"/>
  <c r="K129" i="123"/>
  <c r="K128" i="123"/>
  <c r="K127" i="123"/>
  <c r="K126" i="123"/>
  <c r="K125" i="123"/>
  <c r="K124" i="123"/>
  <c r="K123" i="123"/>
  <c r="K122" i="123"/>
  <c r="K121" i="123"/>
  <c r="K120" i="123"/>
  <c r="K119" i="123"/>
  <c r="K118" i="123"/>
  <c r="K117" i="123"/>
  <c r="K116" i="123"/>
  <c r="K115" i="123"/>
  <c r="K114" i="123"/>
  <c r="K113" i="123"/>
  <c r="K112" i="123"/>
  <c r="K111" i="123"/>
  <c r="K110" i="123"/>
  <c r="K109" i="123"/>
  <c r="K108" i="123"/>
  <c r="K107" i="123"/>
  <c r="K106" i="123"/>
  <c r="K105" i="123"/>
  <c r="K104" i="123"/>
  <c r="K103" i="123"/>
  <c r="K102" i="123"/>
  <c r="K101" i="123"/>
  <c r="K100" i="123"/>
  <c r="K99" i="123"/>
  <c r="K98" i="123"/>
  <c r="K97" i="123"/>
  <c r="K96" i="123"/>
  <c r="K95" i="123"/>
  <c r="K94" i="123"/>
  <c r="K93" i="123"/>
  <c r="K92" i="123"/>
  <c r="K91" i="123"/>
  <c r="K90" i="123"/>
  <c r="K89" i="123"/>
  <c r="K88" i="123"/>
  <c r="K87" i="123"/>
  <c r="K86" i="123"/>
  <c r="K85" i="123"/>
  <c r="K84" i="123"/>
  <c r="K83" i="123"/>
  <c r="K82" i="123"/>
  <c r="K81" i="123"/>
  <c r="K80" i="123"/>
  <c r="K79" i="123"/>
  <c r="K78" i="123"/>
  <c r="K77" i="123"/>
  <c r="K76" i="123"/>
  <c r="K75" i="123"/>
  <c r="K74" i="123"/>
  <c r="K73" i="123"/>
  <c r="K72" i="123"/>
  <c r="K71" i="123"/>
  <c r="K70" i="123"/>
  <c r="K69" i="123"/>
  <c r="K68" i="123"/>
  <c r="K67" i="123"/>
  <c r="K66" i="123"/>
  <c r="K65" i="123"/>
  <c r="K64" i="123"/>
  <c r="K63" i="123"/>
  <c r="K62" i="123"/>
  <c r="K61" i="123"/>
  <c r="K60" i="123"/>
  <c r="K59" i="123"/>
  <c r="K58" i="123"/>
  <c r="K57" i="123"/>
  <c r="K56" i="123"/>
  <c r="K55" i="123"/>
  <c r="K54" i="123"/>
  <c r="K53" i="123"/>
  <c r="K52" i="123"/>
  <c r="K51" i="123"/>
  <c r="K50" i="123"/>
  <c r="K49" i="123"/>
  <c r="K48" i="123"/>
  <c r="K47" i="123"/>
  <c r="K46" i="123"/>
  <c r="K45" i="123"/>
  <c r="K44" i="123"/>
  <c r="K43" i="123"/>
  <c r="K42" i="123"/>
  <c r="K41" i="123"/>
  <c r="K40" i="123"/>
  <c r="K39" i="123"/>
  <c r="K38" i="123"/>
  <c r="K37" i="123"/>
  <c r="K36" i="123"/>
  <c r="K35" i="123"/>
  <c r="K34" i="123"/>
  <c r="K33" i="123"/>
  <c r="K32" i="123"/>
  <c r="K31" i="123"/>
  <c r="K30" i="123"/>
  <c r="K29" i="123"/>
  <c r="K28" i="123"/>
  <c r="K27" i="123"/>
  <c r="K26" i="123"/>
  <c r="K25" i="123"/>
  <c r="K24" i="123"/>
  <c r="K23" i="123"/>
  <c r="K22" i="123"/>
  <c r="K21" i="123"/>
  <c r="K20" i="123"/>
  <c r="K19" i="123"/>
  <c r="K18" i="123"/>
  <c r="K17" i="123"/>
  <c r="K16" i="123"/>
  <c r="K15" i="123"/>
  <c r="K14" i="123"/>
  <c r="K13" i="123"/>
  <c r="K12" i="123"/>
  <c r="K11" i="123"/>
  <c r="K10" i="123"/>
  <c r="K9" i="123"/>
  <c r="K8" i="123"/>
  <c r="K7" i="123"/>
  <c r="K6" i="123"/>
  <c r="K5" i="123"/>
  <c r="K208" i="123" l="1"/>
  <c r="K209" i="123" s="1"/>
  <c r="N21" i="119" l="1"/>
  <c r="F21" i="119"/>
  <c r="E19" i="119"/>
  <c r="E21" i="119"/>
  <c r="G20" i="119"/>
  <c r="F20" i="119"/>
  <c r="E20" i="119"/>
  <c r="G19" i="119"/>
  <c r="F19" i="119"/>
  <c r="G21" i="119"/>
  <c r="N25" i="119"/>
  <c r="N24" i="119"/>
  <c r="N19" i="119"/>
  <c r="N23" i="119"/>
  <c r="N17" i="119"/>
  <c r="N20" i="119"/>
  <c r="N26" i="119" l="1"/>
  <c r="O21" i="119" l="1"/>
  <c r="O20" i="119"/>
  <c r="O19" i="119"/>
  <c r="O25" i="119"/>
  <c r="O24" i="119"/>
  <c r="O23" i="119"/>
  <c r="O17" i="119"/>
  <c r="H45" i="84" l="1"/>
  <c r="F20" i="109"/>
  <c r="E20" i="109"/>
  <c r="H21" i="109"/>
  <c r="H19" i="109"/>
  <c r="E21" i="109"/>
  <c r="G20" i="109"/>
  <c r="G21" i="109"/>
  <c r="G19" i="109"/>
  <c r="E19" i="109"/>
  <c r="F21" i="109"/>
  <c r="F19" i="109"/>
  <c r="H20" i="109"/>
  <c r="H26" i="119"/>
  <c r="O26" i="119" s="1"/>
  <c r="H29" i="109" l="1"/>
  <c r="C18" i="114" s="1"/>
  <c r="R9" i="103"/>
  <c r="Q8" i="103"/>
  <c r="O8" i="103"/>
  <c r="E24" i="84" l="1"/>
  <c r="D23" i="84"/>
  <c r="E81" i="84" l="1"/>
  <c r="D81" i="84"/>
  <c r="E79" i="84"/>
  <c r="D79" i="84"/>
  <c r="E77" i="84"/>
  <c r="D77" i="84"/>
  <c r="E75" i="84"/>
  <c r="D75" i="84"/>
  <c r="E73" i="84"/>
  <c r="D73" i="84"/>
  <c r="F24" i="84" l="1"/>
  <c r="H49" i="84" l="1"/>
  <c r="T9" i="103" l="1"/>
  <c r="U9" i="103" s="1"/>
  <c r="S8" i="103"/>
  <c r="U8" i="103" s="1"/>
  <c r="H42" i="84" l="1"/>
  <c r="J42" i="84" s="1"/>
  <c r="H39" i="84"/>
  <c r="J39" i="84" s="1"/>
  <c r="H41" i="84"/>
  <c r="J41" i="84" s="1"/>
  <c r="H38" i="84"/>
  <c r="J38" i="84" s="1"/>
  <c r="H30" i="84" l="1"/>
  <c r="J30" i="84" s="1"/>
  <c r="H29" i="84"/>
  <c r="J29" i="84" s="1"/>
  <c r="H31" i="84"/>
  <c r="J31" i="84" s="1"/>
  <c r="H34" i="84"/>
  <c r="J34" i="84" s="1"/>
  <c r="G36" i="84"/>
  <c r="J45" i="84"/>
  <c r="H33" i="84"/>
  <c r="J33" i="84" s="1"/>
  <c r="H44" i="84"/>
  <c r="J44" i="84" s="1"/>
  <c r="H28" i="84"/>
  <c r="Q28" i="84" s="1"/>
  <c r="F36" i="84"/>
  <c r="H32" i="84"/>
  <c r="J32" i="84" s="1"/>
  <c r="H35" i="84"/>
  <c r="J35" i="84" s="1"/>
  <c r="J28" i="84" l="1"/>
  <c r="J36" i="84" s="1"/>
  <c r="H36" i="84"/>
  <c r="Q44" i="84" l="1"/>
  <c r="Q45" i="84"/>
  <c r="Q41" i="84"/>
  <c r="Q32" i="84"/>
  <c r="Q49" i="84"/>
  <c r="Q38" i="84"/>
  <c r="Q42" i="84"/>
  <c r="Q34" i="84"/>
  <c r="H53" i="84"/>
  <c r="Q35" i="84"/>
  <c r="Q29" i="84"/>
  <c r="Q39" i="84"/>
  <c r="Q31" i="84"/>
  <c r="Q30" i="84"/>
  <c r="H51" i="84"/>
  <c r="Q33" i="84"/>
  <c r="H47" i="84"/>
  <c r="Q51" i="84" l="1"/>
  <c r="Q53" i="84"/>
  <c r="Q47" i="84"/>
  <c r="P36" i="84"/>
  <c r="Q36" i="84"/>
  <c r="C23" i="114"/>
  <c r="Q64" i="84"/>
  <c r="H20" i="84" l="1"/>
  <c r="Q20" i="84" s="1"/>
  <c r="I23" i="103"/>
  <c r="T27" i="103"/>
  <c r="T35" i="103"/>
  <c r="S19" i="103"/>
  <c r="D44" i="84"/>
  <c r="H19" i="84"/>
  <c r="Q19" i="84" s="1"/>
  <c r="J24" i="103"/>
  <c r="I13" i="103"/>
  <c r="H29" i="103"/>
  <c r="M33" i="103"/>
  <c r="M29" i="103"/>
  <c r="M16" i="103"/>
  <c r="G30" i="103"/>
  <c r="J34" i="103"/>
  <c r="N22" i="103"/>
  <c r="N23" i="103"/>
  <c r="S37" i="103"/>
  <c r="I22" i="103"/>
  <c r="S31" i="103"/>
  <c r="O34" i="103"/>
  <c r="J30" i="103"/>
  <c r="J25" i="103"/>
  <c r="I18" i="103"/>
  <c r="H18" i="103"/>
  <c r="K17" i="103"/>
  <c r="T15" i="103"/>
  <c r="P37" i="103"/>
  <c r="M36" i="103"/>
  <c r="L13" i="103"/>
  <c r="S25" i="103"/>
  <c r="H32" i="103"/>
  <c r="O26" i="103"/>
  <c r="T26" i="103"/>
  <c r="S14" i="103"/>
  <c r="S32" i="103"/>
  <c r="J16" i="103"/>
  <c r="M35" i="103"/>
  <c r="K20" i="103"/>
  <c r="O24" i="103"/>
  <c r="J28" i="103"/>
  <c r="G28" i="103"/>
  <c r="T20" i="103"/>
  <c r="P17" i="103"/>
  <c r="O21" i="103"/>
  <c r="H21" i="103"/>
  <c r="I27" i="103"/>
  <c r="I15" i="103"/>
  <c r="H14" i="103"/>
  <c r="P19" i="103"/>
  <c r="L31" i="103"/>
  <c r="L33" i="103"/>
  <c r="S38" i="103" l="1"/>
  <c r="P38" i="103"/>
  <c r="G31" i="103"/>
  <c r="M24" i="103"/>
  <c r="T17" i="103"/>
  <c r="O16" i="103"/>
  <c r="I38" i="103"/>
  <c r="L38" i="103"/>
  <c r="I29" i="103"/>
  <c r="H31" i="103"/>
  <c r="S21" i="103"/>
  <c r="M27" i="103"/>
  <c r="O14" i="103"/>
  <c r="N21" i="103"/>
  <c r="P34" i="103"/>
  <c r="M22" i="103"/>
  <c r="M15" i="103"/>
  <c r="K28" i="103"/>
  <c r="S26" i="103"/>
  <c r="U26" i="103" s="1"/>
  <c r="S18" i="103"/>
  <c r="I16" i="103"/>
  <c r="P31" i="103"/>
  <c r="T31" i="103"/>
  <c r="U31" i="103" s="1"/>
  <c r="L28" i="103"/>
  <c r="T28" i="103"/>
  <c r="J32" i="103"/>
  <c r="N30" i="103"/>
  <c r="H34" i="103"/>
  <c r="L19" i="103"/>
  <c r="S27" i="103"/>
  <c r="U27" i="103" s="1"/>
  <c r="N28" i="103"/>
  <c r="O32" i="103"/>
  <c r="M26" i="103"/>
  <c r="H15" i="103"/>
  <c r="I37" i="103"/>
  <c r="N34" i="103"/>
  <c r="T19" i="103"/>
  <c r="U19" i="103" s="1"/>
  <c r="J21" i="103"/>
  <c r="I24" i="103"/>
  <c r="J15" i="103"/>
  <c r="P30" i="103"/>
  <c r="T14" i="103"/>
  <c r="U14" i="103" s="1"/>
  <c r="L30" i="103"/>
  <c r="N32" i="103"/>
  <c r="H30" i="103"/>
  <c r="K29" i="103"/>
  <c r="J19" i="84"/>
  <c r="H35" i="103"/>
  <c r="O38" i="103"/>
  <c r="K35" i="103"/>
  <c r="L36" i="103"/>
  <c r="P35" i="103"/>
  <c r="L14" i="103"/>
  <c r="N31" i="103"/>
  <c r="P21" i="103"/>
  <c r="M28" i="103"/>
  <c r="O22" i="103"/>
  <c r="M30" i="103"/>
  <c r="L35" i="103"/>
  <c r="T33" i="103"/>
  <c r="J31" i="103"/>
  <c r="N33" i="103"/>
  <c r="P33" i="103"/>
  <c r="T21" i="103"/>
  <c r="K38" i="103"/>
  <c r="I28" i="103"/>
  <c r="K32" i="103"/>
  <c r="L32" i="103"/>
  <c r="H38" i="103"/>
  <c r="H25" i="103"/>
  <c r="K34" i="103"/>
  <c r="K22" i="103"/>
  <c r="T22" i="103"/>
  <c r="G33" i="103"/>
  <c r="G19" i="103"/>
  <c r="G38" i="103"/>
  <c r="H28" i="103"/>
  <c r="G32" i="103"/>
  <c r="P32" i="103"/>
  <c r="J38" i="103"/>
  <c r="O31" i="103"/>
  <c r="K16" i="103"/>
  <c r="T29" i="103"/>
  <c r="I19" i="103"/>
  <c r="G23" i="103"/>
  <c r="N19" i="103"/>
  <c r="O27" i="103"/>
  <c r="L21" i="103"/>
  <c r="M38" i="103"/>
  <c r="M20" i="103"/>
  <c r="T32" i="103"/>
  <c r="U32" i="103" s="1"/>
  <c r="T38" i="103"/>
  <c r="T30" i="103"/>
  <c r="I31" i="103"/>
  <c r="M37" i="103"/>
  <c r="L34" i="103"/>
  <c r="O19" i="103"/>
  <c r="H16" i="103"/>
  <c r="N26" i="103"/>
  <c r="P26" i="103"/>
  <c r="I25" i="103"/>
  <c r="J37" i="103"/>
  <c r="S15" i="103"/>
  <c r="U15" i="103" s="1"/>
  <c r="I17" i="103"/>
  <c r="T18" i="103"/>
  <c r="G34" i="103"/>
  <c r="P23" i="103"/>
  <c r="O30" i="103"/>
  <c r="L24" i="103"/>
  <c r="O18" i="103"/>
  <c r="J27" i="103"/>
  <c r="S30" i="103"/>
  <c r="H20" i="103"/>
  <c r="I20" i="103"/>
  <c r="J26" i="103"/>
  <c r="I36" i="103"/>
  <c r="L37" i="103"/>
  <c r="M17" i="103"/>
  <c r="M18" i="103"/>
  <c r="S24" i="103"/>
  <c r="M13" i="103"/>
  <c r="H13" i="103"/>
  <c r="J13" i="103"/>
  <c r="N13" i="103"/>
  <c r="S35" i="103"/>
  <c r="U35" i="103" s="1"/>
  <c r="H33" i="103"/>
  <c r="J19" i="103"/>
  <c r="G15" i="103"/>
  <c r="L17" i="103"/>
  <c r="P20" i="103"/>
  <c r="G20" i="103"/>
  <c r="G35" i="103"/>
  <c r="N16" i="103"/>
  <c r="G14" i="103"/>
  <c r="H26" i="103"/>
  <c r="O25" i="103"/>
  <c r="O36" i="103"/>
  <c r="T37" i="103"/>
  <c r="U37" i="103" s="1"/>
  <c r="S17" i="103"/>
  <c r="L25" i="103"/>
  <c r="I34" i="103"/>
  <c r="P36" i="103"/>
  <c r="T23" i="103"/>
  <c r="P22" i="103"/>
  <c r="K30" i="103"/>
  <c r="O33" i="103"/>
  <c r="P29" i="103"/>
  <c r="P24" i="103"/>
  <c r="K18" i="103"/>
  <c r="M19" i="103"/>
  <c r="N35" i="103"/>
  <c r="N27" i="103"/>
  <c r="O23" i="103"/>
  <c r="P16" i="103"/>
  <c r="P14" i="103"/>
  <c r="O15" i="103"/>
  <c r="K27" i="103"/>
  <c r="J17" i="103"/>
  <c r="N20" i="103"/>
  <c r="G24" i="103"/>
  <c r="S20" i="103"/>
  <c r="U20" i="103" s="1"/>
  <c r="O35" i="103"/>
  <c r="T16" i="103"/>
  <c r="L26" i="103"/>
  <c r="K26" i="103"/>
  <c r="M25" i="103"/>
  <c r="N38" i="103"/>
  <c r="H37" i="103"/>
  <c r="P15" i="103"/>
  <c r="P25" i="103"/>
  <c r="M31" i="103"/>
  <c r="G22" i="103"/>
  <c r="O37" i="103"/>
  <c r="J23" i="103"/>
  <c r="H22" i="103"/>
  <c r="T34" i="103"/>
  <c r="G16" i="103"/>
  <c r="G29" i="103"/>
  <c r="I33" i="103"/>
  <c r="N29" i="103"/>
  <c r="H24" i="103"/>
  <c r="G18" i="103"/>
  <c r="K19" i="103"/>
  <c r="G21" i="103"/>
  <c r="L27" i="103"/>
  <c r="M23" i="103"/>
  <c r="S23" i="103"/>
  <c r="S16" i="103"/>
  <c r="K13" i="103"/>
  <c r="O13" i="103"/>
  <c r="J33" i="103"/>
  <c r="H19" i="103"/>
  <c r="J14" i="103"/>
  <c r="K15" i="103"/>
  <c r="G27" i="103"/>
  <c r="N17" i="103"/>
  <c r="J20" i="103"/>
  <c r="O28" i="103"/>
  <c r="P28" i="103"/>
  <c r="K24" i="103"/>
  <c r="I35" i="103"/>
  <c r="M32" i="103"/>
  <c r="I14" i="103"/>
  <c r="G26" i="103"/>
  <c r="G25" i="103"/>
  <c r="K36" i="103"/>
  <c r="N15" i="103"/>
  <c r="L15" i="103"/>
  <c r="O17" i="103"/>
  <c r="N18" i="103"/>
  <c r="N25" i="103"/>
  <c r="S22" i="103"/>
  <c r="G37" i="103"/>
  <c r="T36" i="103"/>
  <c r="L23" i="103"/>
  <c r="L22" i="103"/>
  <c r="O29" i="103"/>
  <c r="K33" i="103"/>
  <c r="L29" i="103"/>
  <c r="N24" i="103"/>
  <c r="J18" i="84"/>
  <c r="G21" i="84"/>
  <c r="J35" i="103"/>
  <c r="M21" i="103"/>
  <c r="P27" i="103"/>
  <c r="K23" i="103"/>
  <c r="S13" i="103"/>
  <c r="N14" i="103"/>
  <c r="H17" i="103"/>
  <c r="L20" i="103"/>
  <c r="O20" i="103"/>
  <c r="L16" i="103"/>
  <c r="K14" i="103"/>
  <c r="I26" i="103"/>
  <c r="K25" i="103"/>
  <c r="F12" i="103"/>
  <c r="N37" i="103"/>
  <c r="G17" i="103"/>
  <c r="J18" i="103"/>
  <c r="P18" i="103"/>
  <c r="T25" i="103"/>
  <c r="U25" i="103" s="1"/>
  <c r="M34" i="103"/>
  <c r="K37" i="103"/>
  <c r="S36" i="103"/>
  <c r="H23" i="103"/>
  <c r="J22" i="103"/>
  <c r="I30" i="103"/>
  <c r="S33" i="103"/>
  <c r="J29" i="103"/>
  <c r="T24" i="103"/>
  <c r="I21" i="103"/>
  <c r="H27" i="103"/>
  <c r="S28" i="103"/>
  <c r="J20" i="84"/>
  <c r="T13" i="103"/>
  <c r="G13" i="103"/>
  <c r="P13" i="103"/>
  <c r="S29" i="103"/>
  <c r="S34" i="103"/>
  <c r="L18" i="103"/>
  <c r="E12" i="103"/>
  <c r="D45" i="84"/>
  <c r="K21" i="103"/>
  <c r="I32" i="103"/>
  <c r="M14" i="103"/>
  <c r="K31" i="103"/>
  <c r="J36" i="103"/>
  <c r="H21" i="84" l="1"/>
  <c r="Q18" i="84"/>
  <c r="U38" i="103"/>
  <c r="U28" i="103"/>
  <c r="U18" i="103"/>
  <c r="G77" i="84"/>
  <c r="G79" i="84"/>
  <c r="G75" i="84"/>
  <c r="H24" i="84"/>
  <c r="F75" i="84"/>
  <c r="H73" i="84"/>
  <c r="F79" i="84"/>
  <c r="F77" i="84"/>
  <c r="F81" i="84"/>
  <c r="H81" i="84" s="1"/>
  <c r="U17" i="103"/>
  <c r="U21" i="103"/>
  <c r="U33" i="103"/>
  <c r="U29" i="103"/>
  <c r="G12" i="103"/>
  <c r="T12" i="103"/>
  <c r="L12" i="103"/>
  <c r="U24" i="103"/>
  <c r="U30" i="103"/>
  <c r="I12" i="103"/>
  <c r="U22" i="103"/>
  <c r="J12" i="103"/>
  <c r="H12" i="103"/>
  <c r="M12" i="103"/>
  <c r="U36" i="103"/>
  <c r="K12" i="103"/>
  <c r="U13" i="103"/>
  <c r="S12" i="103"/>
  <c r="U16" i="103"/>
  <c r="O12" i="103"/>
  <c r="U23" i="103"/>
  <c r="J21" i="84"/>
  <c r="U34" i="103"/>
  <c r="P12" i="103"/>
  <c r="N12" i="103"/>
  <c r="J55" i="84" l="1"/>
  <c r="Q55" i="84" s="1"/>
  <c r="H77" i="84"/>
  <c r="H75" i="84"/>
  <c r="H79" i="84"/>
  <c r="H23" i="84"/>
  <c r="H25" i="84" s="1"/>
  <c r="G25" i="84"/>
  <c r="U12" i="103"/>
  <c r="H55" i="84" l="1"/>
  <c r="I59" i="84" s="1"/>
  <c r="H83" i="84"/>
  <c r="F90" i="84" s="1"/>
  <c r="Q25" i="84"/>
  <c r="G94" i="84" l="1"/>
  <c r="F94" i="84"/>
  <c r="G90" i="84"/>
  <c r="H90" i="84" s="1"/>
  <c r="G92" i="84"/>
  <c r="F92" i="84"/>
  <c r="H92" i="84" l="1"/>
  <c r="H94" i="84"/>
  <c r="C16" i="114"/>
  <c r="C20" i="114" s="1"/>
  <c r="Q59" i="84"/>
  <c r="H96" i="8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tc={B9EB54ED-B4FE-4DD5-856C-4466BF05AE7F}</author>
    <author>tc={A823F108-A7AA-4BEF-882F-B2B6DC195818}</author>
    <author>tc={FE31B27E-2957-4A2C-8329-01187178F998}</author>
    <author>tc={30182CA4-C94B-4162-8D72-7BF1C354AC2B}</author>
    <author>tc={366E4AF2-0612-439A-BD31-9511BF91F0E5}</author>
    <author>tc={7FF9BC49-3812-492D-8A18-E1E01F009FE4}</author>
    <author>tc={D0C83779-1087-48A7-8872-DA137D97EC1B}</author>
    <author>tc={2711BA3F-CA29-4A37-98AD-4C4A038D018E}</author>
    <author>tc={7456720F-7A4F-458C-881D-32BDA87A5DD5}</author>
  </authors>
  <commentList>
    <comment ref="Q8" authorId="0" shapeId="0" xr:uid="{B9EB54ED-B4FE-4DD5-856C-4466BF05AE7F}">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Q11" authorId="1" shapeId="0" xr:uid="{A823F108-A7AA-4BEF-882F-B2B6DC195818}">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Q15" authorId="2" shapeId="0" xr:uid="{FE31B27E-2957-4A2C-8329-01187178F998}">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Q16" authorId="3" shapeId="0" xr:uid="{30182CA4-C94B-4162-8D72-7BF1C354AC2B}">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Q17" authorId="4" shapeId="0" xr:uid="{366E4AF2-0612-439A-BD31-9511BF91F0E5}">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Q18" authorId="5" shapeId="0" xr:uid="{7FF9BC49-3812-492D-8A18-E1E01F009FE4}">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Q24" authorId="6" shapeId="0" xr:uid="{D0C83779-1087-48A7-8872-DA137D97EC1B}">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Q25" authorId="7" shapeId="0" xr:uid="{2711BA3F-CA29-4A37-98AD-4C4A038D018E}">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T34" authorId="8" shapeId="0" xr:uid="{7456720F-7A4F-458C-881D-32BDA87A5DD5}">
      <text>
        <t>[Threaded comment]
Your version of Excel allows you to read this threaded comment; however, any edits to it will get removed if the file is opened in a newer version of Excel. Learn more: https://go.microsoft.com/fwlink/?linkid=870924
Comment:
    Paid for 50 places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KONTIDOU, Fani</author>
    <author>BAXTER, William</author>
  </authors>
  <commentList>
    <comment ref="M4" authorId="0" shapeId="0" xr:uid="{6D2813CB-9566-461B-A6D7-AE8D1966552A}">
      <text>
        <r>
          <rPr>
            <sz val="8"/>
            <color indexed="81"/>
            <rFont val="Tahoma"/>
            <family val="2"/>
          </rPr>
          <t>Total Number of Funded Pupils  inclusive of reception uplift (if applicable), adjusted for part-year funding.</t>
        </r>
      </text>
    </comment>
    <comment ref="N4" authorId="1" shapeId="0" xr:uid="{070E1193-BFE4-40A7-851C-043B1B5EA906}">
      <text>
        <r>
          <rPr>
            <sz val="8"/>
            <color indexed="81"/>
            <rFont val="Tahoma"/>
            <family val="2"/>
          </rPr>
          <t>Total Number of Funded Primary Pupils  inclusive of reception uplift (if applicable), adjusted for part-year funding</t>
        </r>
      </text>
    </comment>
    <comment ref="O4" authorId="1" shapeId="0" xr:uid="{4DFDC26F-A600-47C4-8D5F-F8714F4FB358}">
      <text>
        <r>
          <rPr>
            <sz val="8"/>
            <color indexed="81"/>
            <rFont val="Tahoma"/>
            <family val="2"/>
          </rPr>
          <t>The NOR Reception total does not include any pupils included in the reception uplift figure</t>
        </r>
      </text>
    </comment>
    <comment ref="P4" authorId="0" shapeId="0" xr:uid="{419C5FEB-5536-4089-932F-F54037CB074F}">
      <text>
        <r>
          <rPr>
            <sz val="8"/>
            <color indexed="81"/>
            <rFont val="Tahoma"/>
            <family val="2"/>
          </rPr>
          <t xml:space="preserve">Total NOR in years 1 to 6 adjusted for part year funding. This figure will only be used for the calculation of the eligible proportion of pupils for the primary prior attainment factor
</t>
        </r>
      </text>
    </comment>
    <comment ref="Q4" authorId="1" shapeId="0" xr:uid="{A5F74F8F-5594-46EC-87D4-D32C7B1384C3}">
      <text>
        <r>
          <rPr>
            <sz val="8"/>
            <color indexed="81"/>
            <rFont val="Tahoma"/>
            <family val="2"/>
          </rPr>
          <t>Total number of funded pupils, adjusted for part-year funding</t>
        </r>
      </text>
    </comment>
    <comment ref="T4" authorId="1" shapeId="0" xr:uid="{5803E5CE-F9CB-4C7E-89B3-E480A4425792}">
      <text>
        <r>
          <rPr>
            <sz val="8"/>
            <color indexed="81"/>
            <rFont val="Tahoma"/>
            <family val="2"/>
          </rPr>
          <t>Total NOR in year7, adjusted for part year funding. This figure will only be used for the calculation of the eligible proportion of pupils for the secondary prior attainment factor</t>
        </r>
      </text>
    </comment>
    <comment ref="U4" authorId="1" shapeId="0" xr:uid="{BD21FCE1-FC46-4EE5-8C09-024B6603A9CA}">
      <text>
        <r>
          <rPr>
            <sz val="8"/>
            <color indexed="81"/>
            <rFont val="Tahoma"/>
            <family val="2"/>
          </rPr>
          <t>Total NOR in year 8, adjusted for part year funding. This figure will only be used for the calculation of the eligible proportion of pupils for the secondary prior attainment factor</t>
        </r>
      </text>
    </comment>
    <comment ref="V4" authorId="1" shapeId="0" xr:uid="{9AD0B3E1-1E46-4EB1-945D-EE4DE9B6A4B5}">
      <text>
        <r>
          <rPr>
            <sz val="8"/>
            <color indexed="81"/>
            <rFont val="Tahoma"/>
            <family val="2"/>
          </rPr>
          <t>Total NOR in year 9, adjusted for part year funding. This figure will only be used for the calculation of the eligible proportion of pupils for the secondary prior attainment factor</t>
        </r>
      </text>
    </comment>
    <comment ref="W4" authorId="1" shapeId="0" xr:uid="{E634A785-58E1-4D93-9CD0-49C3F7AB751D}">
      <text>
        <r>
          <rPr>
            <sz val="8"/>
            <color indexed="81"/>
            <rFont val="Tahoma"/>
            <family val="2"/>
          </rPr>
          <t>Total NOR in year 10, adjusted for part year funding. This figure will only be used for the calculation of the eligible proportion of pupils for the secondary prior attainment factor</t>
        </r>
        <r>
          <rPr>
            <sz val="9"/>
            <color indexed="81"/>
            <rFont val="Tahoma"/>
            <family val="2"/>
          </rPr>
          <t xml:space="preserve">
</t>
        </r>
      </text>
    </comment>
    <comment ref="X4" authorId="1" shapeId="0" xr:uid="{A4715CF0-058D-41B5-8758-73E41730D785}">
      <text>
        <r>
          <rPr>
            <sz val="8"/>
            <color indexed="81"/>
            <rFont val="Tahoma"/>
            <family val="2"/>
          </rPr>
          <t>Total NOR in year 11, adjusted for part year funding. This figure will only be used for the calculation of the eligible proportion of pupils for the secondary prior attainment factor</t>
        </r>
      </text>
    </comment>
    <comment ref="Z4" authorId="1" shapeId="0" xr:uid="{F8F9155C-690A-436D-B02A-638BAC9455B8}">
      <text>
        <r>
          <rPr>
            <sz val="8"/>
            <color indexed="81"/>
            <rFont val="Tahoma"/>
            <family val="2"/>
          </rPr>
          <t xml:space="preserve">Total NOR excluding Reception uplift, where applicable
</t>
        </r>
      </text>
    </comment>
    <comment ref="BE4" authorId="1" shapeId="0" xr:uid="{C7E429E6-BF3B-4F6D-A8FC-E92C351B1B62}">
      <text>
        <r>
          <rPr>
            <sz val="8"/>
            <color indexed="81"/>
            <rFont val="Tahoma"/>
            <family val="2"/>
          </rPr>
          <t>For the purpose of sparsity funding all middle and all-though school distances are recorded in the secondary column.</t>
        </r>
      </text>
    </comment>
    <comment ref="BF4" authorId="0" shapeId="0" xr:uid="{B0B2190E-C9AC-4446-85E5-189F02CE579F}">
      <text>
        <r>
          <rPr>
            <sz val="8"/>
            <color indexed="81"/>
            <rFont val="Tahoma"/>
            <family val="2"/>
          </rPr>
          <t>For the purpose of sparsity funding all middle and all-though school distances are recorded in the secondary column.</t>
        </r>
      </text>
    </comment>
    <comment ref="BG4" authorId="1" shapeId="0" xr:uid="{54A601BE-39C1-4496-8DC0-ED952C1B20D8}">
      <text>
        <r>
          <rPr>
            <sz val="8"/>
            <color indexed="81"/>
            <rFont val="Tahoma"/>
            <family val="2"/>
          </rPr>
          <t xml:space="preserve">If the fixed lump sum is selected on the Proforma worksheet the value will be 0 where the schools NOR is above the threshold or 1 where the NOR is below the threshold.
If either Tapered or NFF is selected the value will be 0 where the NOR exceeds the threshold and between 0 and 1 depending on the NOR. For the Tapered calculation the taper begins immediately whereas for the NFF the taper only begins when the NOR exceeds 50% of the threshold (so for a school with 75% of the NOR threshold they would receive 25% of the lump sum under the Tapered calculation and 50% under the NFF calculation).
</t>
        </r>
      </text>
    </comment>
    <comment ref="BH4" authorId="1" shapeId="0" xr:uid="{EFC29F49-F9A1-4384-A53A-5294E0DDECC4}">
      <text>
        <r>
          <rPr>
            <sz val="8"/>
            <color indexed="81"/>
            <rFont val="Tahoma"/>
            <family val="2"/>
          </rPr>
          <t xml:space="preserve">Where a user has selected no for the distance taper on the Proforma worksheet this will either show 1 where the distance exceeds the sparsity distance threshold or 0 where it is below the threshold.  
Where yes is selected for the distance taper a value between 0 and 1 will be shown where the distance is below the threshold but between 80% and 100% of the threshold. If the schools sparsity distance is below 80% of the threshold the value will be 0 and if it is over the threshold it will be 1.
</t>
        </r>
      </text>
    </comment>
    <comment ref="BI4" authorId="0" shapeId="0" xr:uid="{DDB82F8C-4229-40D3-A94C-DFD2B7CD7070}">
      <text>
        <r>
          <rPr>
            <sz val="8"/>
            <color indexed="81"/>
            <rFont val="Tahoma"/>
            <family val="2"/>
          </rPr>
          <t xml:space="preserve">This column shows whether a school meets the sparsity criteria (1) or not (0)
</t>
        </r>
      </text>
    </comment>
    <comment ref="BJ4" authorId="1" shapeId="0" xr:uid="{0B1082C8-189F-4543-9737-50E4D97EA03C}">
      <text>
        <r>
          <rPr>
            <sz val="8"/>
            <color indexed="81"/>
            <rFont val="Tahoma"/>
            <family val="2"/>
          </rPr>
          <t>This column shows the poportion of the total pupils at the school in the primary phase.  This value is only for use in the De Delegation calculation.</t>
        </r>
      </text>
    </comment>
    <comment ref="BK4" authorId="1" shapeId="0" xr:uid="{2E880E60-C9E7-4761-ADB7-250B01B257EB}">
      <text>
        <r>
          <rPr>
            <sz val="8"/>
            <color indexed="81"/>
            <rFont val="Tahoma"/>
            <family val="2"/>
          </rPr>
          <t>This column shows the poportion of the total pupils at the school in the secondary phase.  This value is only for use in the De Delegation calculation.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April Lunn</author>
  </authors>
  <commentList>
    <comment ref="G213" authorId="0" shapeId="0" xr:uid="{7BABE516-FE05-4324-BAF9-DED05FF7C1B2}">
      <text>
        <r>
          <rPr>
            <b/>
            <sz val="9"/>
            <color indexed="81"/>
            <rFont val="Tahoma"/>
            <family val="2"/>
          </rPr>
          <t>April Lunn:</t>
        </r>
        <r>
          <rPr>
            <sz val="9"/>
            <color indexed="81"/>
            <rFont val="Tahoma"/>
            <family val="2"/>
          </rPr>
          <t xml:space="preserve">
Manually Enter</t>
        </r>
      </text>
    </comment>
  </commentList>
</comments>
</file>

<file path=xl/sharedStrings.xml><?xml version="1.0" encoding="utf-8"?>
<sst xmlns="http://schemas.openxmlformats.org/spreadsheetml/2006/main" count="7682" uniqueCount="1390">
  <si>
    <t>LAESTAB</t>
  </si>
  <si>
    <t>School Name</t>
  </si>
  <si>
    <t>Phase</t>
  </si>
  <si>
    <t>Academy Type</t>
  </si>
  <si>
    <t>London Fringe</t>
  </si>
  <si>
    <t>Number of Primary year groups for middle schools</t>
  </si>
  <si>
    <t>Number of Secondary year groups for middle schools</t>
  </si>
  <si>
    <t>Number of Primary year groups for all schools</t>
  </si>
  <si>
    <t>Number of Secondary year groups for all schools</t>
  </si>
  <si>
    <t>Number of KS3 year groups for all schools</t>
  </si>
  <si>
    <t>Number of KS4 year groups for all schools</t>
  </si>
  <si>
    <t>NOR</t>
  </si>
  <si>
    <t>NOR Primary</t>
  </si>
  <si>
    <t>NOR Reception</t>
  </si>
  <si>
    <t>NOR Y1-6 for calculation of the eligible pupils for the primary prior attainment factor ONLY</t>
  </si>
  <si>
    <t>NOR Secondary</t>
  </si>
  <si>
    <t>NOR KS3</t>
  </si>
  <si>
    <t>NOR KS4</t>
  </si>
  <si>
    <t>NOR Y7 for calculation of the eligible pupils for the secondary prior attainment factor ONLY</t>
  </si>
  <si>
    <t>NOR Y8 for calculation of the eligible pupils for the secondary prior attainment factor ONLY</t>
  </si>
  <si>
    <t>NOR Y9 for calculation of the eligible pupils for the secondary prior attainment factor ONLY</t>
  </si>
  <si>
    <t>NOR Y10 for calculation of the eligible pupils for the secondary prior attainment factor ONLY</t>
  </si>
  <si>
    <t>NOR Y11 for calculation of the eligible pupils for the secondary prior attainment factor ONLY</t>
  </si>
  <si>
    <t>Reception Difference</t>
  </si>
  <si>
    <t>Average Year Group Size</t>
  </si>
  <si>
    <t>Primary FSM Units</t>
  </si>
  <si>
    <t>Primary FSM6 Units</t>
  </si>
  <si>
    <t>Secondary FSM Units</t>
  </si>
  <si>
    <t>Secondary FSM6 Units</t>
  </si>
  <si>
    <t>IDACI Primary Units Band G</t>
  </si>
  <si>
    <t>IDACI Primary Units Band F</t>
  </si>
  <si>
    <t>IDACI Primary Units Band E</t>
  </si>
  <si>
    <t>IDACI Primary Units Band D</t>
  </si>
  <si>
    <t>IDACI Primary Units Band C</t>
  </si>
  <si>
    <t>IDACI Primary Units Band B</t>
  </si>
  <si>
    <t>IDACI Primary Units Band A</t>
  </si>
  <si>
    <t>IDACI Secondary Units Band G</t>
  </si>
  <si>
    <t>IDACI Secondary Units Band F</t>
  </si>
  <si>
    <t>IDACI Secondary Units Band E</t>
  </si>
  <si>
    <t>IDACI Secondary Units Band D</t>
  </si>
  <si>
    <t>IDACI Secondary Units Band C</t>
  </si>
  <si>
    <t>IDACI Secondary Units Band B</t>
  </si>
  <si>
    <t>IDACI Secondary Units Band A</t>
  </si>
  <si>
    <t>EAL 3 Primary Units</t>
  </si>
  <si>
    <t>EAL 3 Secondary Units</t>
  </si>
  <si>
    <t>Low prior attainment total Primary Units</t>
  </si>
  <si>
    <t>Low Prior Attainment Secondary Units - Y7</t>
  </si>
  <si>
    <t>Low Prior Attainment Secondary Units - Y8</t>
  </si>
  <si>
    <t>Low Prior Attainment Secondary Units - Y9</t>
  </si>
  <si>
    <t>Low Prior Attainment Secondary Units - Y10</t>
  </si>
  <si>
    <t>Low Prior Attainment Secondary Units - Y11</t>
  </si>
  <si>
    <t>Low prior attainment total Secondary Units</t>
  </si>
  <si>
    <t>Mobility Primary Units</t>
  </si>
  <si>
    <t>Mobility Secondary Units</t>
  </si>
  <si>
    <t>Primary sparsity av. Distance to 2nd school (miles)</t>
  </si>
  <si>
    <t>Secondary sparsity av. Distance to 2nd school (miles)</t>
  </si>
  <si>
    <t>Sparsity NOR taper</t>
  </si>
  <si>
    <t>Sparsity distance taper</t>
  </si>
  <si>
    <t>Sparsity flag</t>
  </si>
  <si>
    <t>Proportion of total NOR in Primary phase</t>
  </si>
  <si>
    <t>Proportion of total NOR in Secondary phase</t>
  </si>
  <si>
    <t>All</t>
  </si>
  <si>
    <t>Roe Farm Primary School</t>
  </si>
  <si>
    <t>Parkview Primary School</t>
  </si>
  <si>
    <t>Ashgate Primary School</t>
  </si>
  <si>
    <t>Becket Primary School</t>
  </si>
  <si>
    <t>Dale Community Primary School</t>
  </si>
  <si>
    <t>Pear Tree Infant School</t>
  </si>
  <si>
    <t>Rosehill Infant and Nursery School</t>
  </si>
  <si>
    <t>Markeaton Primary School</t>
  </si>
  <si>
    <t>Portway Infant School</t>
  </si>
  <si>
    <t>Alvaston Infant and Nursery School</t>
  </si>
  <si>
    <t>Shelton Infant School</t>
  </si>
  <si>
    <t>Cavendish Close Infant School</t>
  </si>
  <si>
    <t>Meadow Farm Community Primary School</t>
  </si>
  <si>
    <t>Gayton Junior School</t>
  </si>
  <si>
    <t>Ridgeway Infant School</t>
  </si>
  <si>
    <t>Wren Park Primary School</t>
  </si>
  <si>
    <t>Ravensdale Infant and Nursery School</t>
  </si>
  <si>
    <t>Silverhill Primary School</t>
  </si>
  <si>
    <t>Oakwood Infant and Nursery School</t>
  </si>
  <si>
    <t>Redwood Primary School</t>
  </si>
  <si>
    <t>Mickleover Primary School</t>
  </si>
  <si>
    <t>St James' Church of England Aided Infant School</t>
  </si>
  <si>
    <t>Shelton Junior School</t>
  </si>
  <si>
    <t>Littleover Community School</t>
  </si>
  <si>
    <t>Murray Park Community School</t>
  </si>
  <si>
    <t>The Bemrose School</t>
  </si>
  <si>
    <t>Griffe Field Primary School</t>
  </si>
  <si>
    <t>Beaufort Community Primary School</t>
  </si>
  <si>
    <t>Homefields Primary School</t>
  </si>
  <si>
    <t>Wyndham Spencer Academy</t>
  </si>
  <si>
    <t>St John Fisher Catholic Voluntary Academy</t>
  </si>
  <si>
    <t>Landau Forte Academy Moorhead</t>
  </si>
  <si>
    <t>Grampian Primary Academy</t>
  </si>
  <si>
    <t>Bishop Lonsdale Church of England Primary School and Nursery</t>
  </si>
  <si>
    <t>Allenton Primary School</t>
  </si>
  <si>
    <t>Firs Primary School</t>
  </si>
  <si>
    <t>Akaal Primary School</t>
  </si>
  <si>
    <t>Derwent Primary School</t>
  </si>
  <si>
    <t>Pear Tree Community Junior School</t>
  </si>
  <si>
    <t>Breadsall Hill Top Primary School</t>
  </si>
  <si>
    <t>Cavendish Close Junior Academy</t>
  </si>
  <si>
    <t>Reigate Park Primary Academy</t>
  </si>
  <si>
    <t>Ashwood Spencer Academy</t>
  </si>
  <si>
    <t>Lakeside Primary Academy</t>
  </si>
  <si>
    <t>Cottons Farm Primary Academy</t>
  </si>
  <si>
    <t>Hackwood Primary Academy</t>
  </si>
  <si>
    <t>St Peter's Church of England Aided Junior School</t>
  </si>
  <si>
    <t>Brackensdale Spencer Academy</t>
  </si>
  <si>
    <t>Castleward Spencer Academy</t>
  </si>
  <si>
    <t>Portway Junior School</t>
  </si>
  <si>
    <t>Alvaston Junior Academy</t>
  </si>
  <si>
    <t>Cherry Tree Hill Primary School</t>
  </si>
  <si>
    <t>Chellaston Infant School</t>
  </si>
  <si>
    <t>Carlyle Infant and Nursery Academy</t>
  </si>
  <si>
    <t>Ravensdale Junior School</t>
  </si>
  <si>
    <t>Asterdale Primary School</t>
  </si>
  <si>
    <t>Springfield Primary School</t>
  </si>
  <si>
    <t>Chaddesden Park Primary School</t>
  </si>
  <si>
    <t>Oakwood Junior School</t>
  </si>
  <si>
    <t>Ash Croft Primary Academy</t>
  </si>
  <si>
    <t>Brookfield Primary School</t>
  </si>
  <si>
    <t>Lawn Primary School</t>
  </si>
  <si>
    <t>Arboretum Primary School</t>
  </si>
  <si>
    <t>Derby St Chad's CofE Nursery and Infant School</t>
  </si>
  <si>
    <t>St Mary's Catholic Voluntary Academy</t>
  </si>
  <si>
    <t>Walter Evans Church of England Aided Primary School</t>
  </si>
  <si>
    <t>St George's Catholic Voluntary Academy</t>
  </si>
  <si>
    <t>St Werburgh's CofE Primary School</t>
  </si>
  <si>
    <t>St James' Church of England Aided Junior School</t>
  </si>
  <si>
    <t>St Joseph's Catholic Voluntary Academy</t>
  </si>
  <si>
    <t>St Alban's Catholic Voluntary Academy</t>
  </si>
  <si>
    <t>Hardwick Primary School</t>
  </si>
  <si>
    <t>Village Primary Academy</t>
  </si>
  <si>
    <t>Zaytouna Primary School</t>
  </si>
  <si>
    <t>Borrow Wood Primary School</t>
  </si>
  <si>
    <t>Chellaston Junior School</t>
  </si>
  <si>
    <t>Derby Cathedral School</t>
  </si>
  <si>
    <t>Noel-Baker Academy</t>
  </si>
  <si>
    <t>Lees Brook Academy</t>
  </si>
  <si>
    <t>Da Vinci Academy</t>
  </si>
  <si>
    <t>City of Derby Academy</t>
  </si>
  <si>
    <t>UTC Derby Pride Park</t>
  </si>
  <si>
    <t>Alvaston Moor Academy</t>
  </si>
  <si>
    <t>Chellaston Academy</t>
  </si>
  <si>
    <t>Derby Moor Spencer Academy</t>
  </si>
  <si>
    <t>Saint Benedict, A Catholic Voluntary Academy</t>
  </si>
  <si>
    <t>West Park School</t>
  </si>
  <si>
    <t>Allestree Woodlands School</t>
  </si>
  <si>
    <t>Landau Forte College</t>
  </si>
  <si>
    <t/>
  </si>
  <si>
    <t>Oak Grange Primary School</t>
  </si>
  <si>
    <t>‘The documents listed below may not be accessible for users using assistive technology. If you need to access any of these documents please contact schoolfinanceteam@derby.gov.uk.’</t>
  </si>
  <si>
    <t>To view a specific school click on the cell below and then click on the arrow, to the right of the cell, to scroll and select the required school.  This spreadsheet will then be populated with financial information relating to this school.</t>
  </si>
  <si>
    <t>Reference No.</t>
  </si>
  <si>
    <t>Bridge Street School</t>
  </si>
  <si>
    <t>Click a box below to see a breakdown for each category</t>
  </si>
  <si>
    <t>Budget Category</t>
  </si>
  <si>
    <t>Schools Block</t>
  </si>
  <si>
    <t>ERS</t>
  </si>
  <si>
    <t>Early Years *</t>
  </si>
  <si>
    <t>Total Budget</t>
  </si>
  <si>
    <t>MEMO ONLY</t>
  </si>
  <si>
    <t>* These are indicative budget allocations only as Early Years budgets are adjusted for actual hour take up in year.</t>
  </si>
  <si>
    <t>PVI Early Years Budget 2024/25</t>
  </si>
  <si>
    <t>To view a specific provider click on the cell below and then click the down arrow to the right of the cell, to view a list of providers, so you can scroll down to one you require.  This spreadsheet will then be populated with financial information relating to this provider.</t>
  </si>
  <si>
    <t>Best Start Sinfin called The Learning Tree</t>
  </si>
  <si>
    <t>1. Base Rate(s) per hour, Early Years entitlement type.</t>
  </si>
  <si>
    <t>Rate per hour (£)</t>
  </si>
  <si>
    <t>Anticipated Total Budget (£)</t>
  </si>
  <si>
    <t>2 Year old working parent</t>
  </si>
  <si>
    <t>9 months - 23 months working parent (from 1st September 2024)</t>
  </si>
  <si>
    <t>Deprivation Supplement (3 and 4 year old only)</t>
  </si>
  <si>
    <t>IMD - top 20% most deprived</t>
  </si>
  <si>
    <t>IMD - 20% to 40% most deprived</t>
  </si>
  <si>
    <t>EAL</t>
  </si>
  <si>
    <r>
      <t>TOTAL FUNDING FOR EARLY YEARS SINGLE FUNDING FORMULA</t>
    </r>
    <r>
      <rPr>
        <sz val="12"/>
        <rFont val="Arial"/>
        <family val="2"/>
      </rPr>
      <t xml:space="preserve">* </t>
    </r>
  </si>
  <si>
    <r>
      <rPr>
        <b/>
        <sz val="12"/>
        <rFont val="Arial"/>
        <family val="2"/>
      </rPr>
      <t xml:space="preserve">* </t>
    </r>
    <r>
      <rPr>
        <sz val="12"/>
        <rFont val="Arial"/>
        <family val="2"/>
      </rPr>
      <t xml:space="preserve">These are indicative budget allocations only as Early Years budgets are adjusted for actual hour take up in year </t>
    </r>
  </si>
  <si>
    <t>Click on the 'Back to Schools Summary' button to select another School or different breakdown</t>
  </si>
  <si>
    <t>Rate</t>
  </si>
  <si>
    <t>Total (£)</t>
  </si>
  <si>
    <t>PFI</t>
  </si>
  <si>
    <t>Factor</t>
  </si>
  <si>
    <t>Description</t>
  </si>
  <si>
    <t>Primary amount per pupil</t>
  </si>
  <si>
    <t>Secondary KS3 amount per pupil</t>
  </si>
  <si>
    <t>Secondary KS4 amount per pupil</t>
  </si>
  <si>
    <t>Number of Pupils (Including High Needs Places)</t>
  </si>
  <si>
    <t>Sub total (£)</t>
  </si>
  <si>
    <t>Notional SEN %</t>
  </si>
  <si>
    <t>Notional SEN within School Budget £</t>
  </si>
  <si>
    <t xml:space="preserve">1) Basic Entitlement - Age Weighted Pupil Funding (AWPU) </t>
  </si>
  <si>
    <t>Primary (including reception)</t>
  </si>
  <si>
    <t>Key Stage 3</t>
  </si>
  <si>
    <t>Key Stage 4</t>
  </si>
  <si>
    <t>Variance</t>
  </si>
  <si>
    <t>Total</t>
  </si>
  <si>
    <t>De-delegation - see separate breakdown</t>
  </si>
  <si>
    <t>Secondary</t>
  </si>
  <si>
    <t>Secondary amount per pupil</t>
  </si>
  <si>
    <t>Number of eligible primary pupils</t>
  </si>
  <si>
    <t>Number of eligible secondary pupils</t>
  </si>
  <si>
    <t>2) Deprivation</t>
  </si>
  <si>
    <t>FSM Current</t>
  </si>
  <si>
    <t>FSM Ever 6</t>
  </si>
  <si>
    <t>IDACI Band F</t>
  </si>
  <si>
    <t>IDACI Band E</t>
  </si>
  <si>
    <t>IDACI Band D</t>
  </si>
  <si>
    <t>IDACI Band C</t>
  </si>
  <si>
    <t>IDACI Band B</t>
  </si>
  <si>
    <t>IDACI Band A</t>
  </si>
  <si>
    <t>Amount per pupil</t>
  </si>
  <si>
    <t>Number of Pupils</t>
  </si>
  <si>
    <t>3) Prior Attainment</t>
  </si>
  <si>
    <t>Primary Low prior attainment</t>
  </si>
  <si>
    <t>Secondary pupils not achieving KS2 in Reading or Writing or Maths</t>
  </si>
  <si>
    <t>4) English as an Additional Language</t>
  </si>
  <si>
    <t>Primary pupils EAL funded for first 3 years in Statutory Education</t>
  </si>
  <si>
    <t>Secondary pupils EAL funded for first 3 years in Statutory Education</t>
  </si>
  <si>
    <t>% of NOR</t>
  </si>
  <si>
    <t>5) Mobility</t>
  </si>
  <si>
    <t>Primary pupils included in the October School Census who did not start in September (Last 3 academic years)</t>
  </si>
  <si>
    <t>Mobility is calculated after deducting 6% threshold level</t>
  </si>
  <si>
    <t>Secondary pupils included in the October School Census who did not start in September (Last 3 academic years)</t>
  </si>
  <si>
    <t>Amount of lump sum</t>
  </si>
  <si>
    <t>Number</t>
  </si>
  <si>
    <t>6) Lump Sum</t>
  </si>
  <si>
    <t>Amount of split site funding</t>
  </si>
  <si>
    <t>7) Split Site</t>
  </si>
  <si>
    <t>Amount of PFI funding</t>
  </si>
  <si>
    <t>PFI to be paid back to the LA</t>
  </si>
  <si>
    <t>MFG / Capping &amp; Scaling Adjustments</t>
  </si>
  <si>
    <t>Total Notional SEN within the School Budget</t>
  </si>
  <si>
    <t>Schools Block Total</t>
  </si>
  <si>
    <t>Total Schools Block Budget</t>
  </si>
  <si>
    <t>NNDR RATES (to be paid by ESFA)</t>
  </si>
  <si>
    <t>Primary Rate</t>
  </si>
  <si>
    <t>Secondary Rate</t>
  </si>
  <si>
    <t>Primary net NOR</t>
  </si>
  <si>
    <t>Secondary Net NOR</t>
  </si>
  <si>
    <t>CFR code E23</t>
  </si>
  <si>
    <t>Contingencies (SIFD &amp; Contingencies)</t>
  </si>
  <si>
    <t>Prim Net NOR</t>
  </si>
  <si>
    <t>Sec Net NOR</t>
  </si>
  <si>
    <t>Insurance</t>
  </si>
  <si>
    <t>CFR code E19</t>
  </si>
  <si>
    <t>Staff Costs Supply</t>
  </si>
  <si>
    <t>CFR code E27</t>
  </si>
  <si>
    <t>Support UAG and Bilingual</t>
  </si>
  <si>
    <t>Behaviour Support</t>
  </si>
  <si>
    <t>CFR Code I01</t>
  </si>
  <si>
    <t>LA Services De-delegated from maintained schools</t>
  </si>
  <si>
    <t>Academies &amp; other non maintained Schools - to be confirmed</t>
  </si>
  <si>
    <t>Behaviour Support - Secondary Hard to Place &amp; Support to Inclusion</t>
  </si>
  <si>
    <t>LA Services to be Invoiced to non maintained schools</t>
  </si>
  <si>
    <t>2. Other formula
factors and lump sums (if applicable)</t>
  </si>
  <si>
    <t>Amount (£)</t>
  </si>
  <si>
    <t>Unit</t>
  </si>
  <si>
    <t>Base for Stand Alone Maintained Nurseries</t>
  </si>
  <si>
    <t>lump sum</t>
  </si>
  <si>
    <t>Stand Alone Maintained Nursery Supplement Funding (3&amp;4 year old Universal Hours only)</t>
  </si>
  <si>
    <t>per hour</t>
  </si>
  <si>
    <t>Academies</t>
  </si>
  <si>
    <t>Post 16</t>
  </si>
  <si>
    <t>Ivy House School</t>
  </si>
  <si>
    <t>St Clare's School</t>
  </si>
  <si>
    <t>Primary</t>
  </si>
  <si>
    <t>The Kingsmead School</t>
  </si>
  <si>
    <t>BS</t>
  </si>
  <si>
    <t>URN</t>
  </si>
  <si>
    <t>Basic Entitlement (Primary)</t>
  </si>
  <si>
    <t>Basic Entitlement (KS3)</t>
  </si>
  <si>
    <t>Basic Entitlement (KS4)</t>
  </si>
  <si>
    <t>Free School Meals (Primary)</t>
  </si>
  <si>
    <t>Free School Meals (Secondary)</t>
  </si>
  <si>
    <t>Free School Meals Ever 6 (Primary)</t>
  </si>
  <si>
    <t>Free School Meals Ever 6 (Secondary)</t>
  </si>
  <si>
    <t>IDACI (P F)</t>
  </si>
  <si>
    <t>IDACI (P E)</t>
  </si>
  <si>
    <t>IDACI (P D)</t>
  </si>
  <si>
    <t>IDACI (P C)</t>
  </si>
  <si>
    <t>IDACI (P B)</t>
  </si>
  <si>
    <t>IDACI (P A)</t>
  </si>
  <si>
    <t>IDACI (S F)</t>
  </si>
  <si>
    <t>IDACI (S E)</t>
  </si>
  <si>
    <t>IDACI (S D)</t>
  </si>
  <si>
    <t>IDACI (S C)</t>
  </si>
  <si>
    <t>IDACI (S B)</t>
  </si>
  <si>
    <t>IDACI (S A)</t>
  </si>
  <si>
    <t>EAL (P)</t>
  </si>
  <si>
    <t>EAL (S)</t>
  </si>
  <si>
    <t>Low Prior Attainment (P)</t>
  </si>
  <si>
    <t>Low Prior Attainment (S)</t>
  </si>
  <si>
    <t>Mobility (P)</t>
  </si>
  <si>
    <t>Mobility (S)</t>
  </si>
  <si>
    <t>Lump Sum</t>
  </si>
  <si>
    <t>Sparsity Funding</t>
  </si>
  <si>
    <t>Split Sites</t>
  </si>
  <si>
    <t>Basic Entitlement Total</t>
  </si>
  <si>
    <t>AEN Total</t>
  </si>
  <si>
    <t>School Factors total</t>
  </si>
  <si>
    <t>Notional SEN Budget</t>
  </si>
  <si>
    <t>Total Allocation</t>
  </si>
  <si>
    <t>Minimum per pupil funding: adjusted total allocation (excluding premises costs)</t>
  </si>
  <si>
    <t>Minimum per pupil funding: minimum per pupil rate</t>
  </si>
  <si>
    <t>Minimum per pupil funding: minimum funding level</t>
  </si>
  <si>
    <t>Minimum per pupil funding: additional funding to meet the primary minimum funding level</t>
  </si>
  <si>
    <t>Minimum per pupil funding: additional funding to meet the secondary minimum funding level</t>
  </si>
  <si>
    <t>Total allocation including minimum funding level adjustment</t>
  </si>
  <si>
    <t>Primary Funding</t>
  </si>
  <si>
    <t>Secondary Funding</t>
  </si>
  <si>
    <t>Minimum allocation after capping/scaling</t>
  </si>
  <si>
    <t>24-25 MFG Unit Value</t>
  </si>
  <si>
    <t>MFG % change</t>
  </si>
  <si>
    <t>MFG Value adjustment</t>
  </si>
  <si>
    <t>Minimum per pupil funding: post MFG minimum funding per pupil rate</t>
  </si>
  <si>
    <t>Minimum per pupil funding: per pupil rate is greater than or equal to the minimum entered on the Proforma sheet?</t>
  </si>
  <si>
    <t>Year on year % Change</t>
  </si>
  <si>
    <t>De-delegation</t>
  </si>
  <si>
    <t>Post De-delegation budget</t>
  </si>
  <si>
    <t>Education functions for maintained schools</t>
  </si>
  <si>
    <t>Post De-delegation and Education functions budget</t>
  </si>
  <si>
    <t>Rates</t>
  </si>
  <si>
    <t>Ashgate Nursery</t>
  </si>
  <si>
    <t>Central Nursery</t>
  </si>
  <si>
    <t>Harrington Nursery</t>
  </si>
  <si>
    <t>Lord St Nursery</t>
  </si>
  <si>
    <t>Stonehill Nursery</t>
  </si>
  <si>
    <t>Walbrook Nursery</t>
  </si>
  <si>
    <t>Whitecross Nursery</t>
  </si>
  <si>
    <t>Ace Nursery</t>
  </si>
  <si>
    <t>Alvaston Achievers</t>
  </si>
  <si>
    <t>EY362920</t>
  </si>
  <si>
    <t>An-Noor Nursery</t>
  </si>
  <si>
    <t>EY467568</t>
  </si>
  <si>
    <t>EY450983</t>
  </si>
  <si>
    <t>Bizzy Kidz</t>
  </si>
  <si>
    <t>Boulton Lane Park Pre-School Playgroup</t>
  </si>
  <si>
    <t>EY282068</t>
  </si>
  <si>
    <t>Bramble Brook Pre-School  Playgroup</t>
  </si>
  <si>
    <t>Busy Bees Pre-School</t>
  </si>
  <si>
    <t>Busy Bees-Derby, Heatherton</t>
  </si>
  <si>
    <t>Carlton Private Day Nursery</t>
  </si>
  <si>
    <t>Chuckles Pre-School Playgroup</t>
  </si>
  <si>
    <t>Derby City Childminding Network - Amanda Reeves</t>
  </si>
  <si>
    <t>EY451228</t>
  </si>
  <si>
    <t>Derby City Childminding Network - Amber Rose Worsfold</t>
  </si>
  <si>
    <t>EY398922</t>
  </si>
  <si>
    <t>Derby City Childminding Network - Andrea Louise Banyard</t>
  </si>
  <si>
    <t>Derby City Childminding Network - Angela Jane Hatton</t>
  </si>
  <si>
    <t>Derby City Childminding Network - Ann Stanley</t>
  </si>
  <si>
    <t>Derby City Childminding Network - Anna Fatima Rani</t>
  </si>
  <si>
    <t>EY491735</t>
  </si>
  <si>
    <t>Derby City Childminding Network - Anne-Marie Davies</t>
  </si>
  <si>
    <t>EY000013</t>
  </si>
  <si>
    <t xml:space="preserve">Derby City Childminding Network - Arline Mali </t>
  </si>
  <si>
    <t>EY444837</t>
  </si>
  <si>
    <t>Derby City Childminding Network - Ashley Jane Elizabeth Hallas</t>
  </si>
  <si>
    <t>EY440600</t>
  </si>
  <si>
    <t>Derby City Childminding Network - Aina Boladale Ogunwole</t>
  </si>
  <si>
    <t>Derby City Childminding Network - Bonnies Childminding</t>
  </si>
  <si>
    <t>EY542496</t>
  </si>
  <si>
    <t>Derby City Childminding Network - Carrieann Redfern</t>
  </si>
  <si>
    <t>Derby City Childminding Network - Caroline Clifford</t>
  </si>
  <si>
    <t>EY421552</t>
  </si>
  <si>
    <t>Derby City Childminding Network - Celia Murfin</t>
  </si>
  <si>
    <t>EY251518</t>
  </si>
  <si>
    <t>Derby City Childminding Network - Cheryll Lesley Haywood-Phillips</t>
  </si>
  <si>
    <t>Derby City Childminding Network - Christine Ann Brocklehurst</t>
  </si>
  <si>
    <t>Derby City Childminding Network - Christine Avis Gibbons</t>
  </si>
  <si>
    <t>Derby City Childminding Network - Christine Julie Heathcote</t>
  </si>
  <si>
    <t>EY412756</t>
  </si>
  <si>
    <t>Derby City Childminding Network - Claire-Ellen Oakley</t>
  </si>
  <si>
    <t>EY294474</t>
  </si>
  <si>
    <t>Derby City Childminding Network - Deborah Scaife</t>
  </si>
  <si>
    <t>Derby City Childminding Network - Diane Helena Kendrick</t>
  </si>
  <si>
    <t>Derby City Childminding Network - Donna Gladwin</t>
  </si>
  <si>
    <t>EY386644</t>
  </si>
  <si>
    <t>Derby City Childminding Network - Dorothy Faye Thomson</t>
  </si>
  <si>
    <t>EY552102</t>
  </si>
  <si>
    <t>Derby City Childminding Network - Emma Shepherd</t>
  </si>
  <si>
    <t>EY455065</t>
  </si>
  <si>
    <t>Derby City Childminding Network - Emma Louise Strange,</t>
  </si>
  <si>
    <t>Derby City Childminding Network - Enza Dawson</t>
  </si>
  <si>
    <t>EY460509</t>
  </si>
  <si>
    <t>Derby City Childminding Network - Evangelista Muchineripi Kafuru</t>
  </si>
  <si>
    <t>EY401536</t>
  </si>
  <si>
    <t>Derby City Childminding Network - Fiona Meek</t>
  </si>
  <si>
    <t>EY316120</t>
  </si>
  <si>
    <t>Derby City Childminding Network - Heather Brocklehurst</t>
  </si>
  <si>
    <t>EY561853</t>
  </si>
  <si>
    <t>Derby City Childminding Network - Helen Marie Samuels</t>
  </si>
  <si>
    <t>Derby City Childminding Network - Jade ElishaO'Donnell</t>
  </si>
  <si>
    <t>Derby City Childminding Network - Jane Catherine Penny</t>
  </si>
  <si>
    <t>Derby City Childminding Network - Jane Denise Dakin</t>
  </si>
  <si>
    <t>Derby City Childminding Network - Jennifer Hayley Brown</t>
  </si>
  <si>
    <t>EY493729</t>
  </si>
  <si>
    <t>Derby City Childminding Network - Jennifer Sarah Armstrong</t>
  </si>
  <si>
    <t>Derby City Childminding Network - Jennifer Smith</t>
  </si>
  <si>
    <t>EY430291</t>
  </si>
  <si>
    <t>Derby City Childminding Network - Joanne Claire Hurst</t>
  </si>
  <si>
    <t>EY462623</t>
  </si>
  <si>
    <t>Derby City Childminding Network - Joanne Mycroft</t>
  </si>
  <si>
    <t>Derby City Childminding Network - Judith Deakin</t>
  </si>
  <si>
    <t>EY492729</t>
  </si>
  <si>
    <t>Derby City Childminding Network - Julie Croft</t>
  </si>
  <si>
    <t>EY368441</t>
  </si>
  <si>
    <t>Derby City Childminding Network - Julie Elizabeth Sewter,</t>
  </si>
  <si>
    <t>EY316309</t>
  </si>
  <si>
    <t>Derby City Childminding Network - Julie Margaret Warren</t>
  </si>
  <si>
    <t>Derby City Childminding Network - Kathryn Mary Sarsfield</t>
  </si>
  <si>
    <t>EY405755</t>
  </si>
  <si>
    <t>Derby City Childminding Network - Kerry Jehane Derbyshire</t>
  </si>
  <si>
    <t>Derby City Childminding Network - Laura Marshall</t>
  </si>
  <si>
    <t>Derby City Childminding Network - Laura Murphy</t>
  </si>
  <si>
    <t>EY493212</t>
  </si>
  <si>
    <t>Derby City Childminding Network - Laura Neale</t>
  </si>
  <si>
    <t>CA000015</t>
  </si>
  <si>
    <t>Derby City Childminding Network - Laura Shaw</t>
  </si>
  <si>
    <t>EY408462</t>
  </si>
  <si>
    <t>Derby City Childminding Network - Lisa Marie North</t>
  </si>
  <si>
    <t>EY546840</t>
  </si>
  <si>
    <t>Derby City Childminding Network - Leah Sheridan</t>
  </si>
  <si>
    <t>Derby City Childminding Network - Lorraine Duthie</t>
  </si>
  <si>
    <t>EY440552</t>
  </si>
  <si>
    <t>Derby City Childminding Network - Miranda Heather Gunston</t>
  </si>
  <si>
    <t>EY428424</t>
  </si>
  <si>
    <t>Derby City Childminding Network - Nicky Sherratt</t>
  </si>
  <si>
    <t>Derby City Childminding Network - Martine Lamell</t>
  </si>
  <si>
    <t>Derby City Childminding Network - Monika Brown</t>
  </si>
  <si>
    <t>EY236462</t>
  </si>
  <si>
    <t>Derby City Childminding Network - Paula Jane Wathey</t>
  </si>
  <si>
    <t>EY484039</t>
  </si>
  <si>
    <t>Derby City Childminding Network - Rachael Elizabeth Eagles</t>
  </si>
  <si>
    <t>EY487257</t>
  </si>
  <si>
    <t>Derby City Childminding Network - Rachel Gillian Brownsword</t>
  </si>
  <si>
    <t>EY307352</t>
  </si>
  <si>
    <t>Derby City Childminding Network - Rachel Jane Weightman</t>
  </si>
  <si>
    <t>EY447118</t>
  </si>
  <si>
    <t>Derby City Childminding Network - Rachel Wiggins</t>
  </si>
  <si>
    <t>EY393682</t>
  </si>
  <si>
    <t>Derby City Childminding Network - Rebecca Anne Cotton</t>
  </si>
  <si>
    <t>EY396913</t>
  </si>
  <si>
    <t>Derby City Childminding Network - Rebecca Louise Dudley</t>
  </si>
  <si>
    <t>EY278371</t>
  </si>
  <si>
    <t>Derby City Childminding Network - Rebecca Sarah Wall</t>
  </si>
  <si>
    <t>EY541336</t>
  </si>
  <si>
    <t xml:space="preserve">Derby City Childminding Network - Regina Zakrzewska </t>
  </si>
  <si>
    <t>Derby City Childminding Network - Sally -Anne Thompson</t>
  </si>
  <si>
    <t>EY485279</t>
  </si>
  <si>
    <t>Derby City Childminding Network - Sally Louise Bartram</t>
  </si>
  <si>
    <t>EY406938</t>
  </si>
  <si>
    <t>Derby City Childminding Network - Samantha Anne Fisher</t>
  </si>
  <si>
    <t>EY299821</t>
  </si>
  <si>
    <t>Derby City Childminding Network - Sandra Upton</t>
  </si>
  <si>
    <t>Derby City Childminding Network - Sara Helen Cooper</t>
  </si>
  <si>
    <t>Derby City Childminding Network - Sara Mycroft</t>
  </si>
  <si>
    <t>Derby City Childminding Network - Sarah Jane Jackson</t>
  </si>
  <si>
    <t>EY436155</t>
  </si>
  <si>
    <t>Derby City Childminding Network - Sharron Ann Silkstone</t>
  </si>
  <si>
    <t>Derby City Childminding Network - Sharon Taylor</t>
  </si>
  <si>
    <t>EY336425</t>
  </si>
  <si>
    <t>Derby City Childminding Network - Shirley Kerr</t>
  </si>
  <si>
    <t>Derby City Childminding Network - Stella Louise Bayliss</t>
  </si>
  <si>
    <t>EY435150</t>
  </si>
  <si>
    <t>Derby City Childminding Network - Susan Theresa McPhee</t>
  </si>
  <si>
    <t>EY299849</t>
  </si>
  <si>
    <t>Derby City Childminding Network - Tamasine Louise Ashforth</t>
  </si>
  <si>
    <t>EY547709</t>
  </si>
  <si>
    <t xml:space="preserve">Derby City Childminding Network - Valerie Sutton </t>
  </si>
  <si>
    <t>EY496070</t>
  </si>
  <si>
    <t>Derby City Childminding Network - Victoria Collings</t>
  </si>
  <si>
    <t>EY318345</t>
  </si>
  <si>
    <t>Derby City Childminding Network - Wendy Jane Wheawall</t>
  </si>
  <si>
    <t>EY464682</t>
  </si>
  <si>
    <t>Derby City Childminding Network - Wendy Lorraine Anne Wright</t>
  </si>
  <si>
    <t>EY414019</t>
  </si>
  <si>
    <t>Derby City Childminding Network - Yolande Wosik</t>
  </si>
  <si>
    <t>EY350863</t>
  </si>
  <si>
    <t>Derby City Childminding Network - Zena Brotherson</t>
  </si>
  <si>
    <t>EY240925</t>
  </si>
  <si>
    <t>Derby High School</t>
  </si>
  <si>
    <t>EY476012</t>
  </si>
  <si>
    <t>Derby Montessori</t>
  </si>
  <si>
    <t>EY330097</t>
  </si>
  <si>
    <t>Derwent Stepping Stones- St Marks Rd</t>
  </si>
  <si>
    <t>EY396374</t>
  </si>
  <si>
    <t>Childcare @ St James Centre</t>
  </si>
  <si>
    <t>EY421215</t>
  </si>
  <si>
    <t>Diamond Day PDN</t>
  </si>
  <si>
    <t>381/6000</t>
  </si>
  <si>
    <t>Emmanuel School</t>
  </si>
  <si>
    <t>EY307423</t>
  </si>
  <si>
    <t>Field Lane Playgroup Ltd</t>
  </si>
  <si>
    <t>First Friends Private Day Nursery</t>
  </si>
  <si>
    <t>EY539483</t>
  </si>
  <si>
    <t>First Steps Early Years Centre</t>
  </si>
  <si>
    <t>EY478943</t>
  </si>
  <si>
    <t>Fun Time Nursery Limited</t>
  </si>
  <si>
    <t>EY406182</t>
  </si>
  <si>
    <t>Heatherton Pre-School</t>
  </si>
  <si>
    <t>EY477956</t>
  </si>
  <si>
    <t>Incredible Kids</t>
  </si>
  <si>
    <t>King George V Pre-School</t>
  </si>
  <si>
    <t>EY285337</t>
  </si>
  <si>
    <t>Kingfisher Day Nursery - Spondon</t>
  </si>
  <si>
    <t>La Petite Academy</t>
  </si>
  <si>
    <t>Leapfrog Day Nursery(1)</t>
  </si>
  <si>
    <t>EY492973</t>
  </si>
  <si>
    <t>Little Owls Playgroup</t>
  </si>
  <si>
    <t>EY371611</t>
  </si>
  <si>
    <t>Little Poppies Pre-School ( Royal British</t>
  </si>
  <si>
    <t>EY550368</t>
  </si>
  <si>
    <t>Little Scholars Private Day Nursery(1) Sunnyhill</t>
  </si>
  <si>
    <t>Little Scholars Private Day Nursery(2) Littleover</t>
  </si>
  <si>
    <t>EY471706</t>
  </si>
  <si>
    <t xml:space="preserve">Little Angels Playschool CIC </t>
  </si>
  <si>
    <t>EY544417</t>
  </si>
  <si>
    <t>Marble Hall Little Angels Day Nursery</t>
  </si>
  <si>
    <t>Mary Poppins Day Nursery</t>
  </si>
  <si>
    <t>Mickleover Methodist Playgroup</t>
  </si>
  <si>
    <t>EY304261</t>
  </si>
  <si>
    <t>Oak House Nursery</t>
  </si>
  <si>
    <t>EY563570</t>
  </si>
  <si>
    <t>The Orange Tree Day Nursery @ Derby</t>
  </si>
  <si>
    <t>Orchard Private Day Nursery</t>
  </si>
  <si>
    <t>Orchard Nursery School(1)</t>
  </si>
  <si>
    <t>Osmaston Day Nursery Limited</t>
  </si>
  <si>
    <t>EY474393</t>
  </si>
  <si>
    <t>Playcorner Nursery</t>
  </si>
  <si>
    <t>Playdays Opportunity Group</t>
  </si>
  <si>
    <t>EY370198</t>
  </si>
  <si>
    <t>Positive Steps Childcare</t>
  </si>
  <si>
    <t>Rydale Nursery (formerly Childrens Centre)</t>
  </si>
  <si>
    <t>EY481412</t>
  </si>
  <si>
    <t>Scallywags Nursery</t>
  </si>
  <si>
    <t>EY541492</t>
  </si>
  <si>
    <t>Shelton Lock Pre-School</t>
  </si>
  <si>
    <t>EY500690</t>
  </si>
  <si>
    <t>Shining Stars Day Nursery</t>
  </si>
  <si>
    <t>EY282326</t>
  </si>
  <si>
    <t>Silver Trees Private Day Nursery</t>
  </si>
  <si>
    <t>EY279508</t>
  </si>
  <si>
    <t>Sinfin Community Childcare</t>
  </si>
  <si>
    <t>EY456892</t>
  </si>
  <si>
    <t>Sinfin Community Childcare at SCILLS Community Centre</t>
  </si>
  <si>
    <t>EY541153</t>
  </si>
  <si>
    <t>St Andrew's Pre-School Playgroup</t>
  </si>
  <si>
    <t>EY535976</t>
  </si>
  <si>
    <t>St Edmunds Pre-School And Playgroup</t>
  </si>
  <si>
    <t>St Joseph's R. C. Pre-School</t>
  </si>
  <si>
    <t>EY484523</t>
  </si>
  <si>
    <t>Sunny Days Nursery</t>
  </si>
  <si>
    <t>Sunnyhill Day Nursery Limited</t>
  </si>
  <si>
    <t>EY100960</t>
  </si>
  <si>
    <t>The Cottage Private Day Nursery Uttoxeter Road</t>
  </si>
  <si>
    <t>The Cottage Private Day Nursery(3)</t>
  </si>
  <si>
    <t>The Early Years Academy Derby</t>
  </si>
  <si>
    <t>EY495633</t>
  </si>
  <si>
    <t>The Faraway Tree Day Nursery</t>
  </si>
  <si>
    <t>EY103452</t>
  </si>
  <si>
    <t>The Orchard Garden Private Day Nurser</t>
  </si>
  <si>
    <t>Thornhill Day Nursery - Tommies Childcare</t>
  </si>
  <si>
    <t>EY497405</t>
  </si>
  <si>
    <t>Tiny Tots Nursery</t>
  </si>
  <si>
    <t>Treetops Private Day Nursery</t>
  </si>
  <si>
    <t>EY452684</t>
  </si>
  <si>
    <t>White House Day Nursery Alvaston</t>
  </si>
  <si>
    <t>EY544723</t>
  </si>
  <si>
    <t>White House Kids Club</t>
  </si>
  <si>
    <t>EY431769</t>
  </si>
  <si>
    <t>Whitehouse Day Nursery Limited</t>
  </si>
  <si>
    <t>Wonderworks Pre-School</t>
  </si>
  <si>
    <t>Woodlands Private Day Nursery</t>
  </si>
  <si>
    <t>EY493996</t>
  </si>
  <si>
    <t>Schools Out Club (Derby) Ltd - Allestree School's Out Club</t>
  </si>
  <si>
    <t>NewPVI_1</t>
  </si>
  <si>
    <t>Homelands -Childcare Centre</t>
  </si>
  <si>
    <t>NewPVI_2</t>
  </si>
  <si>
    <t>Rosehill Children Centre</t>
  </si>
  <si>
    <t>Dandelion Preschool</t>
  </si>
  <si>
    <t>Saint Benedict CVA</t>
  </si>
  <si>
    <t>Contingencies</t>
  </si>
  <si>
    <t>Staff costs supply cover</t>
  </si>
  <si>
    <t>Support to underperforming ethnic minority groups and bilingual learners</t>
  </si>
  <si>
    <t>Behaviour support services</t>
  </si>
  <si>
    <t>Total unit value</t>
  </si>
  <si>
    <t>Total de delegation</t>
  </si>
  <si>
    <t>Primary AWPU</t>
  </si>
  <si>
    <t>Secondary AWPU</t>
  </si>
  <si>
    <t>P</t>
  </si>
  <si>
    <t>S</t>
  </si>
  <si>
    <t>AT</t>
  </si>
  <si>
    <t>20% most deprived</t>
  </si>
  <si>
    <t>20% to 40% most deprived</t>
  </si>
  <si>
    <t>Schools with Nursery Classes</t>
  </si>
  <si>
    <t>Cost Centre</t>
  </si>
  <si>
    <t>DFE Ref</t>
  </si>
  <si>
    <t>Standalone Lump Sum</t>
  </si>
  <si>
    <t>Standalone Supplement</t>
  </si>
  <si>
    <t>Base Costs</t>
  </si>
  <si>
    <t>IMD 20% Most Deprived</t>
  </si>
  <si>
    <t>IMD 20% to 40% Deprived</t>
  </si>
  <si>
    <t>Grand Total</t>
  </si>
  <si>
    <t>E200201</t>
  </si>
  <si>
    <t>M</t>
  </si>
  <si>
    <t>E100101</t>
  </si>
  <si>
    <t>E200901</t>
  </si>
  <si>
    <t>Bemrose</t>
  </si>
  <si>
    <t>E300101</t>
  </si>
  <si>
    <t>E202001</t>
  </si>
  <si>
    <t>E100301</t>
  </si>
  <si>
    <t>E100401</t>
  </si>
  <si>
    <t>E100501</t>
  </si>
  <si>
    <t>E203901</t>
  </si>
  <si>
    <t>Oakwood Infant School</t>
  </si>
  <si>
    <t>E204701</t>
  </si>
  <si>
    <t>E204901</t>
  </si>
  <si>
    <t>E205401</t>
  </si>
  <si>
    <t>E205601</t>
  </si>
  <si>
    <t>E206001</t>
  </si>
  <si>
    <t>E206101</t>
  </si>
  <si>
    <t>E206201</t>
  </si>
  <si>
    <t>St James' Church of England (Aided) Infant School and Nursery</t>
  </si>
  <si>
    <t>E207001</t>
  </si>
  <si>
    <t>E100601</t>
  </si>
  <si>
    <t>E100701</t>
  </si>
  <si>
    <t>E100801</t>
  </si>
  <si>
    <t>A</t>
  </si>
  <si>
    <t>Ashcroft Primary Academy</t>
  </si>
  <si>
    <t>Ashwood Spencer Academy (Osmaston) Primary School</t>
  </si>
  <si>
    <t>Brackensdale ER (Enhanced Resource) Primary School</t>
  </si>
  <si>
    <t>Bishop Lonsdale Church of England (Aided) Primary School</t>
  </si>
  <si>
    <t>Carlyle Infant School</t>
  </si>
  <si>
    <t>Cotton's Farm Primary School</t>
  </si>
  <si>
    <t>Derwent Community School</t>
  </si>
  <si>
    <t>Firs Estate Primary School</t>
  </si>
  <si>
    <t>Grampian Primary School /Academy</t>
  </si>
  <si>
    <t>Homefields Primary</t>
  </si>
  <si>
    <t>Lakeside Community Primary School</t>
  </si>
  <si>
    <t>Reigate Primary School</t>
  </si>
  <si>
    <t>Oak Grange Primary And Nursery School</t>
  </si>
  <si>
    <t>St Alban's Catholic Primary School</t>
  </si>
  <si>
    <t>St Chad's Church of England (Controlled) Nursery and Infant School</t>
  </si>
  <si>
    <t>St Mary's Catholic Primary School</t>
  </si>
  <si>
    <t>Village Primary School</t>
  </si>
  <si>
    <t>Walter Evans Church of England (Aided) Primary School</t>
  </si>
  <si>
    <t>Wyndham Primary Academy</t>
  </si>
  <si>
    <t>ZP</t>
  </si>
  <si>
    <t>DE23 8DH</t>
  </si>
  <si>
    <t>D</t>
  </si>
  <si>
    <t>EY545705</t>
  </si>
  <si>
    <t>DE23 8FB</t>
  </si>
  <si>
    <t>DE24 9HW</t>
  </si>
  <si>
    <t>DE23 6AP</t>
  </si>
  <si>
    <t>DE24 0BD</t>
  </si>
  <si>
    <t>DE3 9HD</t>
  </si>
  <si>
    <t>DE22 2HE</t>
  </si>
  <si>
    <t>DE23 3TZ</t>
  </si>
  <si>
    <t>DE22 1GQ</t>
  </si>
  <si>
    <t>DE24 0RU</t>
  </si>
  <si>
    <t>DE23 3YA</t>
  </si>
  <si>
    <t>DE21 7HY</t>
  </si>
  <si>
    <t>DE21 4JQ</t>
  </si>
  <si>
    <t>DE24 9JR</t>
  </si>
  <si>
    <t>DE23 6QT</t>
  </si>
  <si>
    <t>DE21 4RQ</t>
  </si>
  <si>
    <t>DE3 9AS</t>
  </si>
  <si>
    <t>DE21 2HZ</t>
  </si>
  <si>
    <t>DE24 0TZ</t>
  </si>
  <si>
    <t>DE21 7DF</t>
  </si>
  <si>
    <t>DE24 0GA</t>
  </si>
  <si>
    <t>DE3 0QQ</t>
  </si>
  <si>
    <t>DE23 4RQ</t>
  </si>
  <si>
    <t>DE22 2NN</t>
  </si>
  <si>
    <t>DE73 6UP</t>
  </si>
  <si>
    <t>DE24 0TE</t>
  </si>
  <si>
    <t>DE23 3ZJ</t>
  </si>
  <si>
    <t>DE22 3TL</t>
  </si>
  <si>
    <t>DE24 0GR</t>
  </si>
  <si>
    <t>DE23 6JR</t>
  </si>
  <si>
    <t>639304</t>
  </si>
  <si>
    <t>DE21 2JW</t>
  </si>
  <si>
    <t>639309</t>
  </si>
  <si>
    <t>DE3 0PY</t>
  </si>
  <si>
    <t>DE3 9YF</t>
  </si>
  <si>
    <t>DE73 6UU</t>
  </si>
  <si>
    <t>DE23 8SR</t>
  </si>
  <si>
    <t>DE21 7QL</t>
  </si>
  <si>
    <t>DE21 2BL</t>
  </si>
  <si>
    <t>DE22 4BQ</t>
  </si>
  <si>
    <t>DE24 9FN</t>
  </si>
  <si>
    <t>DE21 7RF</t>
  </si>
  <si>
    <t>DE21 7AJ</t>
  </si>
  <si>
    <t>DE21 2QL</t>
  </si>
  <si>
    <t>DE24 9AY</t>
  </si>
  <si>
    <t>DE24 8PF</t>
  </si>
  <si>
    <t>DE21 7JF</t>
  </si>
  <si>
    <t>DE22 2FZ</t>
  </si>
  <si>
    <t>DE73 6TB</t>
  </si>
  <si>
    <t>DE24 8SE</t>
  </si>
  <si>
    <t>DE23 2TD</t>
  </si>
  <si>
    <t>DE23 3DT</t>
  </si>
  <si>
    <t>DE22 3NJ</t>
  </si>
  <si>
    <t>DE21 6AH</t>
  </si>
  <si>
    <t>DE23 8LU</t>
  </si>
  <si>
    <t>DE24 0PA</t>
  </si>
  <si>
    <t>DE22 1FP</t>
  </si>
  <si>
    <t>DE24 0GW</t>
  </si>
  <si>
    <t>DE21 6HP</t>
  </si>
  <si>
    <t>DE24 8XB</t>
  </si>
  <si>
    <t>DE23 8DD</t>
  </si>
  <si>
    <t>DE24 8AJ</t>
  </si>
  <si>
    <t>DE23 6GT</t>
  </si>
  <si>
    <t>DE21 7AB</t>
  </si>
  <si>
    <t>DE23 1DG</t>
  </si>
  <si>
    <t>DE21 2SF</t>
  </si>
  <si>
    <t>DE22 4FN</t>
  </si>
  <si>
    <t>DE3 9GB</t>
  </si>
  <si>
    <t>DE23 1GQ</t>
  </si>
  <si>
    <t>DE23 3EY</t>
  </si>
  <si>
    <t>DE24 9HY</t>
  </si>
  <si>
    <t>DE1 8BF</t>
  </si>
  <si>
    <t>DE3 9AJ</t>
  </si>
  <si>
    <t>DE3 9GH</t>
  </si>
  <si>
    <t>DE3 9FN</t>
  </si>
  <si>
    <t>DE73 6RF</t>
  </si>
  <si>
    <t>DE23 8GD</t>
  </si>
  <si>
    <t>DE73 1TU</t>
  </si>
  <si>
    <t>DE23 6US</t>
  </si>
  <si>
    <t>DE22 4EN</t>
  </si>
  <si>
    <t>DE73 5WX</t>
  </si>
  <si>
    <t>DE24 9AD</t>
  </si>
  <si>
    <t>DE23 6WW</t>
  </si>
  <si>
    <t>DE22 3AD</t>
  </si>
  <si>
    <t>DE24 9HG</t>
  </si>
  <si>
    <t>DE24 9NT</t>
  </si>
  <si>
    <t>DE23 7PX</t>
  </si>
  <si>
    <t>DE22 2FN</t>
  </si>
  <si>
    <t>DE23 6SB</t>
  </si>
  <si>
    <t>DE21 4AA</t>
  </si>
  <si>
    <t>DE3 9AX</t>
  </si>
  <si>
    <t>DE22 3PD</t>
  </si>
  <si>
    <t>DE22 3HQ</t>
  </si>
  <si>
    <t>DE1 1RX</t>
  </si>
  <si>
    <t>DE24 0JP</t>
  </si>
  <si>
    <t>DE21 2DF</t>
  </si>
  <si>
    <t>DE24 0JR</t>
  </si>
  <si>
    <t>DE72 3HB</t>
  </si>
  <si>
    <t>DE21 7LU</t>
  </si>
  <si>
    <t>DE21 6LN</t>
  </si>
  <si>
    <t>DE22 1BJ</t>
  </si>
  <si>
    <t>DE22 2QL</t>
  </si>
  <si>
    <t>All Providers</t>
  </si>
  <si>
    <t>Check</t>
  </si>
  <si>
    <t>654321</t>
  </si>
  <si>
    <t>Derby City Childminding Network - Jaclyn Mary Mustafa</t>
  </si>
  <si>
    <t>Derby City Childminding Network - Jackie Nettleship</t>
  </si>
  <si>
    <t>Unallocated hours</t>
  </si>
  <si>
    <t>CLICK ON THE ARROW BUTTON TO SELECT YOUR SCHOOL FROM THE LIST</t>
  </si>
  <si>
    <t>Kingsmead School</t>
  </si>
  <si>
    <t>St Andrew's School</t>
  </si>
  <si>
    <t>St Giles' School</t>
  </si>
  <si>
    <t>St Martins School including Horizons</t>
  </si>
  <si>
    <t>CLICK ON THE ARROW BUTTON TO SELECT YOUR PROVIDER FROM THE LIST</t>
  </si>
  <si>
    <t>All Schools</t>
  </si>
  <si>
    <t>0124</t>
  </si>
  <si>
    <t>DE73 5SB</t>
  </si>
  <si>
    <t>All-through</t>
  </si>
  <si>
    <t>Recoupment Academy</t>
  </si>
  <si>
    <t>Y</t>
  </si>
  <si>
    <t>Derby City Childminding Network - Emma Louise Strange</t>
  </si>
  <si>
    <t>Derby City Childminding Network - Julie Elizabeth Sewter</t>
  </si>
  <si>
    <t xml:space="preserve">* These are indicative budget allocations only as Early Years budgets are adjusted for actual hour take up in year </t>
  </si>
  <si>
    <t>Schools Summary Budgets for 2025/26</t>
  </si>
  <si>
    <t>RATES 2025-26 (NFF NNDR indicative allocation)</t>
  </si>
  <si>
    <t>25-26 Base NOR</t>
  </si>
  <si>
    <t>2 Year old additional support</t>
  </si>
  <si>
    <t>De-delegation from Maintained Schools 2025-26</t>
  </si>
  <si>
    <t>NOR (from Adjusted Factors column O)</t>
  </si>
  <si>
    <t>NOR Primary (from Adjusted Factors column P)</t>
  </si>
  <si>
    <t>NOR Secondary (from Adjusted Factors column S)</t>
  </si>
  <si>
    <t>25-26 Approved Exceptional Circumstance 1: Reserved for Additional lump sum for schools amalgamated during FY24-25</t>
  </si>
  <si>
    <t>25-26 Approved Exceptional Circumstance 2: Reserved for additional sparsity lump sum</t>
  </si>
  <si>
    <t>25-26 Approved Exceptional Circumstance 3</t>
  </si>
  <si>
    <t>25-26 Approved Exceptional Circumstance 4</t>
  </si>
  <si>
    <t>25-26 Approved Exceptional Circumstance 5</t>
  </si>
  <si>
    <t>25-26 Approved Exceptional Circumstance 6</t>
  </si>
  <si>
    <t>25-26 Approved Exceptional Circumstance 7</t>
  </si>
  <si>
    <t>25-26 MFG budget using minimum funding level</t>
  </si>
  <si>
    <t>25-26 MFG Budget</t>
  </si>
  <si>
    <t>25-26 MFG Unit Value</t>
  </si>
  <si>
    <t>25-26 MFG Adjustment</t>
  </si>
  <si>
    <t>25-26 Post MFG Budget</t>
  </si>
  <si>
    <t>25-26 Post MFG per pupil Budget</t>
  </si>
  <si>
    <t>25-26 NFF NNDR allocation</t>
  </si>
  <si>
    <t>Post De-delegation and Education functions budget after deduction of 25-26 NFF NNDR allocation</t>
  </si>
  <si>
    <t>May 2025 Term Hours</t>
  </si>
  <si>
    <t>Oct 2025 Term Hours</t>
  </si>
  <si>
    <t>Jan 2026 Term Hours</t>
  </si>
  <si>
    <t>Early Years Budget Detail 2025/26</t>
  </si>
  <si>
    <t>2025-26 Budget Working Hours to be paid to Settings</t>
  </si>
  <si>
    <t>Depreviation</t>
  </si>
  <si>
    <t>Base Amount</t>
  </si>
  <si>
    <t>Synergy Ref</t>
  </si>
  <si>
    <t>Universal
Summer Term 2025 Budget
12 weeks</t>
  </si>
  <si>
    <t>Expanded
Summer Term 2025 Budget
12 weeks</t>
  </si>
  <si>
    <t>Universal
Summer Term 2025 Actuals
12 weeks</t>
  </si>
  <si>
    <t>Expanded
Summer Term 2025 Actuals
12 weeks</t>
  </si>
  <si>
    <t>Universal
Autumn Term 2025 Budget
14 weeks</t>
  </si>
  <si>
    <t>Expanded
Autumn Term 2025 Budget
14 weeks</t>
  </si>
  <si>
    <t>Universal
Autumn Term 2025 Actuals
14 weeks</t>
  </si>
  <si>
    <t>Expanded
Autumn Term 2025 Actuals
14 weeks</t>
  </si>
  <si>
    <t>Universal
Spring Term 2025 Actuals
12 weeks</t>
  </si>
  <si>
    <t>Expanded
Spring Term 2025 Actuals
12 weeks</t>
  </si>
  <si>
    <t>Total Base Budget Hours for Universal Hours</t>
  </si>
  <si>
    <t>Total Base Budget Hours for Expanded Hours</t>
  </si>
  <si>
    <t>Total Base Actual Hours for Universal Hours</t>
  </si>
  <si>
    <t>Total Base Actual Hours for Expanded Hours</t>
  </si>
  <si>
    <t>Summer Term 2025 Budget
12 weeks</t>
  </si>
  <si>
    <t>Summer Term 2025 Actuals
12 weeks</t>
  </si>
  <si>
    <t>Autumn Term 2025 Actuals
14 weeks</t>
  </si>
  <si>
    <t>Spring Term 2026 Actuals
12 weeks</t>
  </si>
  <si>
    <t>Total Base Budget Hours</t>
  </si>
  <si>
    <t>Total Base Actual Hours</t>
  </si>
  <si>
    <t>Total Dep Budget</t>
  </si>
  <si>
    <t>Total Dep Actual</t>
  </si>
  <si>
    <t>Standalone Nurseries</t>
  </si>
  <si>
    <t>639097</t>
  </si>
  <si>
    <t>112472</t>
  </si>
  <si>
    <t>112474</t>
  </si>
  <si>
    <t>639098</t>
  </si>
  <si>
    <t>112476</t>
  </si>
  <si>
    <t>112475</t>
  </si>
  <si>
    <t>112480</t>
  </si>
  <si>
    <t>112744</t>
  </si>
  <si>
    <t>112717</t>
  </si>
  <si>
    <t>112951</t>
  </si>
  <si>
    <t>112749</t>
  </si>
  <si>
    <t>112752</t>
  </si>
  <si>
    <t>112767</t>
  </si>
  <si>
    <t>131799</t>
  </si>
  <si>
    <t>112759</t>
  </si>
  <si>
    <t>639166</t>
  </si>
  <si>
    <t>131401</t>
  </si>
  <si>
    <t>112733</t>
  </si>
  <si>
    <t>639170</t>
  </si>
  <si>
    <t>112915</t>
  </si>
  <si>
    <t>146715</t>
  </si>
  <si>
    <t>145806</t>
  </si>
  <si>
    <t>146079</t>
  </si>
  <si>
    <t>146855</t>
  </si>
  <si>
    <t>146877</t>
  </si>
  <si>
    <t>112737</t>
  </si>
  <si>
    <t>144624</t>
  </si>
  <si>
    <t>147119</t>
  </si>
  <si>
    <t>140842</t>
  </si>
  <si>
    <t>146847</t>
  </si>
  <si>
    <t>147125</t>
  </si>
  <si>
    <t>148585</t>
  </si>
  <si>
    <t xml:space="preserve">145592 </t>
  </si>
  <si>
    <t>146921</t>
  </si>
  <si>
    <t>145982</t>
  </si>
  <si>
    <t>144343</t>
  </si>
  <si>
    <t>142041</t>
  </si>
  <si>
    <t xml:space="preserve">138992 </t>
  </si>
  <si>
    <t>146579</t>
  </si>
  <si>
    <t>146477</t>
  </si>
  <si>
    <t>123456</t>
  </si>
  <si>
    <t xml:space="preserve">143875 </t>
  </si>
  <si>
    <t>146080</t>
  </si>
  <si>
    <t>145855</t>
  </si>
  <si>
    <t>149747</t>
  </si>
  <si>
    <t>146253</t>
  </si>
  <si>
    <t>146575</t>
  </si>
  <si>
    <t>146140</t>
  </si>
  <si>
    <t>145760</t>
  </si>
  <si>
    <t>142752</t>
  </si>
  <si>
    <t>138443</t>
  </si>
  <si>
    <t>Zaytouna Primary</t>
  </si>
  <si>
    <t>PVI</t>
  </si>
  <si>
    <t>537684</t>
  </si>
  <si>
    <t>639238</t>
  </si>
  <si>
    <t>639087</t>
  </si>
  <si>
    <t>639080</t>
  </si>
  <si>
    <t>Bramble Brook Pre School</t>
  </si>
  <si>
    <t>537700</t>
  </si>
  <si>
    <t>537674</t>
  </si>
  <si>
    <t>594455</t>
  </si>
  <si>
    <t>Busy Bees Oakwood</t>
  </si>
  <si>
    <t>537676</t>
  </si>
  <si>
    <t>521095</t>
  </si>
  <si>
    <t>537695</t>
  </si>
  <si>
    <t>639118</t>
  </si>
  <si>
    <t>639262</t>
  </si>
  <si>
    <t>639127</t>
  </si>
  <si>
    <t>639150</t>
  </si>
  <si>
    <t>639263</t>
  </si>
  <si>
    <t>639319</t>
  </si>
  <si>
    <t>639230</t>
  </si>
  <si>
    <t>639306</t>
  </si>
  <si>
    <t>639201</t>
  </si>
  <si>
    <t>639264</t>
  </si>
  <si>
    <t>Derby City Childminding Network - Carrieann Haseldine</t>
  </si>
  <si>
    <t>639242</t>
  </si>
  <si>
    <t>639295</t>
  </si>
  <si>
    <t>639108</t>
  </si>
  <si>
    <t xml:space="preserve">Derby City Childminding Network -Christelle Simmons </t>
  </si>
  <si>
    <t>CA000038</t>
  </si>
  <si>
    <t>639214</t>
  </si>
  <si>
    <t>639109</t>
  </si>
  <si>
    <t>639116</t>
  </si>
  <si>
    <t>639219</t>
  </si>
  <si>
    <t>Derby City Childminding Network - Diane Jean Stone</t>
  </si>
  <si>
    <t>2757388</t>
  </si>
  <si>
    <t>639256</t>
  </si>
  <si>
    <t>639273</t>
  </si>
  <si>
    <t>639146</t>
  </si>
  <si>
    <t>639204</t>
  </si>
  <si>
    <t>639244</t>
  </si>
  <si>
    <t>639191</t>
  </si>
  <si>
    <t>639225</t>
  </si>
  <si>
    <t>639200</t>
  </si>
  <si>
    <t>639312</t>
  </si>
  <si>
    <t>639307</t>
  </si>
  <si>
    <t>639313</t>
  </si>
  <si>
    <t>639315</t>
  </si>
  <si>
    <t>639287</t>
  </si>
  <si>
    <t>Derby City Childminding Network -Jennifer Leigh Bladen</t>
  </si>
  <si>
    <t>639308</t>
  </si>
  <si>
    <t>639296</t>
  </si>
  <si>
    <t>639162</t>
  </si>
  <si>
    <t>639137</t>
  </si>
  <si>
    <t>639255</t>
  </si>
  <si>
    <t>639202</t>
  </si>
  <si>
    <t>639275</t>
  </si>
  <si>
    <t>639139</t>
  </si>
  <si>
    <t>639311</t>
  </si>
  <si>
    <t>639105</t>
  </si>
  <si>
    <t>Derby City Childminding Network -Marie Louise Taylor-Ulyatt</t>
  </si>
  <si>
    <t>639321</t>
  </si>
  <si>
    <t>Derby City Childminding Network - Melissa Jade Linda Kelly</t>
  </si>
  <si>
    <t>639297</t>
  </si>
  <si>
    <t>639289</t>
  </si>
  <si>
    <t>639248</t>
  </si>
  <si>
    <t>639316</t>
  </si>
  <si>
    <t>639194</t>
  </si>
  <si>
    <t>639209</t>
  </si>
  <si>
    <t>639252</t>
  </si>
  <si>
    <t>639280</t>
  </si>
  <si>
    <t>639182</t>
  </si>
  <si>
    <t>639253</t>
  </si>
  <si>
    <t>639282</t>
  </si>
  <si>
    <t>639314</t>
  </si>
  <si>
    <t>639106</t>
  </si>
  <si>
    <t>639115</t>
  </si>
  <si>
    <t>Derby City Childminding Network -Sarah Helen Cooper</t>
  </si>
  <si>
    <t>639134</t>
  </si>
  <si>
    <t>639203</t>
  </si>
  <si>
    <t>639121</t>
  </si>
  <si>
    <t>639284</t>
  </si>
  <si>
    <t>639160</t>
  </si>
  <si>
    <t>639101</t>
  </si>
  <si>
    <t>639250</t>
  </si>
  <si>
    <t>639288</t>
  </si>
  <si>
    <t>639184</t>
  </si>
  <si>
    <t>639186</t>
  </si>
  <si>
    <t>639185</t>
  </si>
  <si>
    <t>639103</t>
  </si>
  <si>
    <t>Dal Ul Madina</t>
  </si>
  <si>
    <t>DUM</t>
  </si>
  <si>
    <t>639081</t>
  </si>
  <si>
    <t>523374</t>
  </si>
  <si>
    <t>515240</t>
  </si>
  <si>
    <t>599272</t>
  </si>
  <si>
    <t>537680</t>
  </si>
  <si>
    <t>514310</t>
  </si>
  <si>
    <t>537687</t>
  </si>
  <si>
    <t>639145</t>
  </si>
  <si>
    <t>598505</t>
  </si>
  <si>
    <t>639152</t>
  </si>
  <si>
    <t>Kids Planet</t>
  </si>
  <si>
    <t>2762152</t>
  </si>
  <si>
    <t>582810</t>
  </si>
  <si>
    <t>Kingfisher Day Nursery</t>
  </si>
  <si>
    <t>537696</t>
  </si>
  <si>
    <t>517037</t>
  </si>
  <si>
    <t>639093</t>
  </si>
  <si>
    <t>639197</t>
  </si>
  <si>
    <t>513351</t>
  </si>
  <si>
    <t>Little Rainbows Academy</t>
  </si>
  <si>
    <t>639317</t>
  </si>
  <si>
    <t>594451</t>
  </si>
  <si>
    <t>583760</t>
  </si>
  <si>
    <t xml:space="preserve">Lots for Tots </t>
  </si>
  <si>
    <t>LOT</t>
  </si>
  <si>
    <t>639245</t>
  </si>
  <si>
    <t>524119</t>
  </si>
  <si>
    <t>520956</t>
  </si>
  <si>
    <t>510895</t>
  </si>
  <si>
    <t>639261</t>
  </si>
  <si>
    <t>537693</t>
  </si>
  <si>
    <t>521423</t>
  </si>
  <si>
    <t>639318</t>
  </si>
  <si>
    <t>599273</t>
  </si>
  <si>
    <t>524317</t>
  </si>
  <si>
    <t>599354</t>
  </si>
  <si>
    <t>Rosehil EYC</t>
  </si>
  <si>
    <t>REYC</t>
  </si>
  <si>
    <t>537689</t>
  </si>
  <si>
    <t>639168</t>
  </si>
  <si>
    <t>537677</t>
  </si>
  <si>
    <t>639223</t>
  </si>
  <si>
    <t>Shining Stars Day Nursery Mickleover</t>
  </si>
  <si>
    <t>SSN</t>
  </si>
  <si>
    <t>584254</t>
  </si>
  <si>
    <t>537699</t>
  </si>
  <si>
    <t>639085</t>
  </si>
  <si>
    <t>639234</t>
  </si>
  <si>
    <t>639235</t>
  </si>
  <si>
    <t>St. Joseph's RC Pre School</t>
  </si>
  <si>
    <t>512951</t>
  </si>
  <si>
    <t>639205</t>
  </si>
  <si>
    <t>639320</t>
  </si>
  <si>
    <t>537691</t>
  </si>
  <si>
    <t>513352</t>
  </si>
  <si>
    <t>639300</t>
  </si>
  <si>
    <t>639206</t>
  </si>
  <si>
    <t>639286</t>
  </si>
  <si>
    <t>516844</t>
  </si>
  <si>
    <t>Treetops Oakwood</t>
  </si>
  <si>
    <t>510466</t>
  </si>
  <si>
    <t>639084</t>
  </si>
  <si>
    <t>521775</t>
  </si>
  <si>
    <t>521776</t>
  </si>
  <si>
    <t>639302</t>
  </si>
  <si>
    <t>512458</t>
  </si>
  <si>
    <t>639094</t>
  </si>
  <si>
    <t>Grand total for PTE</t>
  </si>
  <si>
    <t>Universal
Spring Term 2025 Budget
12 weeks</t>
  </si>
  <si>
    <t>2750871</t>
  </si>
  <si>
    <t>Castleward Spencer Academy - Nursery</t>
  </si>
  <si>
    <t>Derby City Childminding Network - Catherine Laura OBrien</t>
  </si>
  <si>
    <t>2680147</t>
  </si>
  <si>
    <t>Derby City Childminding Network - Gillian Alecia Williams</t>
  </si>
  <si>
    <t>2736137</t>
  </si>
  <si>
    <t>2575281</t>
  </si>
  <si>
    <t>Derby City Childminding Network - Kelly Thorns</t>
  </si>
  <si>
    <t>EY402908</t>
  </si>
  <si>
    <t>Derby City Childminding Network - Latoya Umana</t>
  </si>
  <si>
    <t>CA00017</t>
  </si>
  <si>
    <t>Kids Planet Springfield</t>
  </si>
  <si>
    <t>Kids Planet Spondon</t>
  </si>
  <si>
    <t>2761782</t>
  </si>
  <si>
    <t>The Orchard Garden Private Day Nursery</t>
  </si>
  <si>
    <t>639231</t>
  </si>
  <si>
    <t>Rosehill Day Nursery EYC Limited</t>
  </si>
  <si>
    <t>2806192</t>
  </si>
  <si>
    <t>DSG allocated hours</t>
  </si>
  <si>
    <t>1st Head Count total</t>
  </si>
  <si>
    <t>2nd Head Count total</t>
  </si>
  <si>
    <t>Expanded
Spring Term 2025 Budget
12 weeks</t>
  </si>
  <si>
    <t>Derby City Childminding Network - Catherine Laura Obrien</t>
  </si>
  <si>
    <t>639305</t>
  </si>
  <si>
    <t>Derby City Childminding Network - Emma Louise Shepherd-Brown</t>
  </si>
  <si>
    <t>639270</t>
  </si>
  <si>
    <t>Derby City Childminding Network -Jennifer Sarah Armstrong</t>
  </si>
  <si>
    <t>639310</t>
  </si>
  <si>
    <t>639227</t>
  </si>
  <si>
    <t>Derby City Childminding Network - Sandra Dawn Upton</t>
  </si>
  <si>
    <t>Derby City Childminding Network - Sharon Andrew-Street</t>
  </si>
  <si>
    <t>639283</t>
  </si>
  <si>
    <t>Unallocated hours from September from 15 to 30 hours</t>
  </si>
  <si>
    <t>1st Headcount PTE</t>
  </si>
  <si>
    <t>2nd Headcount</t>
  </si>
  <si>
    <t>Derby City Childminding Network - Carly-Ann Dawkins</t>
  </si>
  <si>
    <t>EY445187</t>
  </si>
  <si>
    <t>Derby City Childminding Network - Emma Louise Shepherd</t>
  </si>
  <si>
    <t>Derby City Childminding Network - Emma Louise Strange-Brown</t>
  </si>
  <si>
    <t>Derby City Childminding Network - Sharon Ann Silkstone</t>
  </si>
  <si>
    <t>Derby City Childminding Network - Sharron Andrew-Street</t>
  </si>
  <si>
    <t>639128</t>
  </si>
  <si>
    <t>First Headcount</t>
  </si>
  <si>
    <t>Second headcount</t>
  </si>
  <si>
    <t>2024/25 Rates</t>
  </si>
  <si>
    <t>Enter new rates</t>
  </si>
  <si>
    <t>2025/26 Rates</t>
  </si>
  <si>
    <t>Budget</t>
  </si>
  <si>
    <t>Business Rates (NDRR)</t>
  </si>
  <si>
    <t xml:space="preserve">Grand Total </t>
  </si>
  <si>
    <t>Standalone supplement</t>
  </si>
  <si>
    <t>High Needs Budget for 2025-26</t>
  </si>
  <si>
    <t>PLACES</t>
  </si>
  <si>
    <t>FUNDING</t>
  </si>
  <si>
    <t>Maintained</t>
  </si>
  <si>
    <t>Pre-16</t>
  </si>
  <si>
    <t>Manual input</t>
  </si>
  <si>
    <t>Special, AP and PRU</t>
  </si>
  <si>
    <t>Per place</t>
  </si>
  <si>
    <t>Type</t>
  </si>
  <si>
    <t>Setting</t>
  </si>
  <si>
    <t>Provision Type</t>
  </si>
  <si>
    <t>Current FTE for E3 in ContrOCC for 25/26</t>
  </si>
  <si>
    <t>Places AY 24/25</t>
  </si>
  <si>
    <t>Local Agreement for 24/25 AY - when do the ERS start</t>
  </si>
  <si>
    <t>Places AY 25/26</t>
  </si>
  <si>
    <t>Vacant Places</t>
  </si>
  <si>
    <t>Over Commissioned Places</t>
  </si>
  <si>
    <t>Other LA places</t>
  </si>
  <si>
    <t>Vacant place element 1 funding</t>
  </si>
  <si>
    <t>Element 2 funding</t>
  </si>
  <si>
    <t>Element 1 &amp; 2 for special schools</t>
  </si>
  <si>
    <t>Teachers pay and pension special</t>
  </si>
  <si>
    <t>Vacant E3</t>
  </si>
  <si>
    <t>Exceptional Funding</t>
  </si>
  <si>
    <t>Additional funding</t>
  </si>
  <si>
    <t>Funding for MFG</t>
  </si>
  <si>
    <t>E3 for places based on new banding amounts</t>
  </si>
  <si>
    <t>E3 for places based on new banding amounts MFG</t>
  </si>
  <si>
    <t>Average 24-25</t>
  </si>
  <si>
    <t>Average 25-26</t>
  </si>
  <si>
    <t>Difference</t>
  </si>
  <si>
    <t>April to August</t>
  </si>
  <si>
    <t>September to March</t>
  </si>
  <si>
    <t>April to July</t>
  </si>
  <si>
    <t>August to March</t>
  </si>
  <si>
    <t>Mainstream</t>
  </si>
  <si>
    <t>Maintained Schools in Derby</t>
  </si>
  <si>
    <t>Academy Schools in Derby</t>
  </si>
  <si>
    <t>23-24 Academic Year Payments removed from ContrOCC</t>
  </si>
  <si>
    <t>Places not updated for 25/26</t>
  </si>
  <si>
    <t>Bemrose School</t>
  </si>
  <si>
    <t>Borrow Wood Primary Academy</t>
  </si>
  <si>
    <t>Brackensdale Primary</t>
  </si>
  <si>
    <t>Markeaton Primary School - closed</t>
  </si>
  <si>
    <t>Reigate Park Primary</t>
  </si>
  <si>
    <t>St Alban's Catholic Volutanry Academy</t>
  </si>
  <si>
    <t>Chellaston Academy  - not starting till September 25 is this correct</t>
  </si>
  <si>
    <t>West Park  - not starting till September 25 is this correct</t>
  </si>
  <si>
    <t>Special</t>
  </si>
  <si>
    <t>St Andrews Academy</t>
  </si>
  <si>
    <t>St Andrews Residential</t>
  </si>
  <si>
    <t>St Clares School</t>
  </si>
  <si>
    <t>St Giles Spencer Academy</t>
  </si>
  <si>
    <t>St Martins School</t>
  </si>
  <si>
    <t>AP/PRU</t>
  </si>
  <si>
    <t>PRU</t>
  </si>
  <si>
    <t>AP</t>
  </si>
  <si>
    <t>Derby Pride Academy</t>
  </si>
  <si>
    <t>Schools Block Budget Detail 2025/26</t>
  </si>
  <si>
    <t>Budget For E3 for known on contrOCC - Pre 16</t>
  </si>
  <si>
    <t>Budget For E3 for known on contrOCC - Post 16</t>
  </si>
  <si>
    <t>Banding</t>
  </si>
  <si>
    <t>DPA</t>
  </si>
  <si>
    <t>9 months - 23 months working parent**</t>
  </si>
  <si>
    <t xml:space="preserve">** Funding paid on participation </t>
  </si>
  <si>
    <t>2 Year old working parent**</t>
  </si>
  <si>
    <t>2 Year old additional support**</t>
  </si>
  <si>
    <t>April to August Places</t>
  </si>
  <si>
    <t>September to March Places</t>
  </si>
  <si>
    <t>Pre 16</t>
  </si>
  <si>
    <t xml:space="preserve">Post 16 </t>
  </si>
  <si>
    <t>April to July Places</t>
  </si>
  <si>
    <t>August to March Places</t>
  </si>
  <si>
    <t>Historical Teacher pay and pension Grant
£</t>
  </si>
  <si>
    <t>Legacy additional funding from the 2022 autumn statement
£</t>
  </si>
  <si>
    <t>Total base funding (Element 1&amp;2)
£</t>
  </si>
  <si>
    <t>PFI 
£</t>
  </si>
  <si>
    <t>Element 2 funding ( high needs block)
£</t>
  </si>
  <si>
    <t>URN.</t>
  </si>
  <si>
    <t>This is taken from the APT from the adjusted Factors tab</t>
  </si>
  <si>
    <t>Check values to ISB</t>
  </si>
  <si>
    <t>Pupil Led Factors</t>
  </si>
  <si>
    <t>Amount per pupil 2024/25</t>
  </si>
  <si>
    <t>Amount per pupil 2025/26</t>
  </si>
  <si>
    <t>1) Basic Entitlement
Age Weighted Pupil Unit (AWPU)</t>
  </si>
  <si>
    <t>Primary (Years R-6)</t>
  </si>
  <si>
    <t>Key Stage 3  (Years 7-9)</t>
  </si>
  <si>
    <t>Key Stage 4 (Years 10-11)</t>
  </si>
  <si>
    <t>Primary amounts</t>
  </si>
  <si>
    <t>FSM</t>
  </si>
  <si>
    <t>FSM6</t>
  </si>
  <si>
    <t>IDACI Band  F</t>
  </si>
  <si>
    <t>IDACI Band  E</t>
  </si>
  <si>
    <t>IDACI Band  D</t>
  </si>
  <si>
    <t>IDACI Band  C</t>
  </si>
  <si>
    <t>IDACI Band  B</t>
  </si>
  <si>
    <t>IDACI Band  A</t>
  </si>
  <si>
    <t>Secondary amounts</t>
  </si>
  <si>
    <t>3) Looked After Children (LAC)</t>
  </si>
  <si>
    <t>LAC X March 19</t>
  </si>
  <si>
    <t>4) English as an Additional Language (EAL)</t>
  </si>
  <si>
    <t>EAL 3 Primary</t>
  </si>
  <si>
    <t>EAL 3 Secondary</t>
  </si>
  <si>
    <t>Pupils starting school outside of normal entry dates</t>
  </si>
  <si>
    <t>6) Prior attainment</t>
  </si>
  <si>
    <t>Primary Low Attainment</t>
  </si>
  <si>
    <t>Secondary low attainment (year 7)</t>
  </si>
  <si>
    <t>Secondary low attainment (year 8)</t>
  </si>
  <si>
    <t>Secondary low attainment (year 9)</t>
  </si>
  <si>
    <t>Secondary low attainment (years 10 to 11)</t>
  </si>
  <si>
    <t>7) Lump Sum</t>
  </si>
  <si>
    <t>XXX</t>
  </si>
  <si>
    <t>Minimum Funding level per pupil / MFG (0.0%) / Capping (0.54%) &amp; Scaling (83.4%)</t>
  </si>
  <si>
    <t>Bridge Street</t>
  </si>
  <si>
    <t>ALLESTREE WOODLANDS SCHOOL</t>
  </si>
  <si>
    <t>LA (code)</t>
  </si>
  <si>
    <t>LA (name)</t>
  </si>
  <si>
    <t>EstablishmentNumber</t>
  </si>
  <si>
    <t>EstablishmentName</t>
  </si>
  <si>
    <t>TypeOfEstablishment (name)</t>
  </si>
  <si>
    <t>EstablishmentStatus (name)</t>
  </si>
  <si>
    <t>OpenDate</t>
  </si>
  <si>
    <t>CloseDate</t>
  </si>
  <si>
    <t>PhaseOfEducation (name)</t>
  </si>
  <si>
    <t>StatutoryLowAge</t>
  </si>
  <si>
    <t>StatutoryHighAge</t>
  </si>
  <si>
    <t>Boarders (name)</t>
  </si>
  <si>
    <t>NurseryProvision (name)</t>
  </si>
  <si>
    <t>OfficialSixthForm (name)</t>
  </si>
  <si>
    <t>Gender (name)</t>
  </si>
  <si>
    <t>ReligiousCharacter (name)</t>
  </si>
  <si>
    <t>ReligiousEthos (name)</t>
  </si>
  <si>
    <t>Diocese (name)</t>
  </si>
  <si>
    <t>AdmissionsPolicy (name)</t>
  </si>
  <si>
    <t>TrustSchoolFlag (name)</t>
  </si>
  <si>
    <t>Trusts (name)</t>
  </si>
  <si>
    <t>SchoolSponsorFlag (name)</t>
  </si>
  <si>
    <t>SchoolSponsors (name)</t>
  </si>
  <si>
    <t>FederationFlag (name)</t>
  </si>
  <si>
    <t>Federations (name)</t>
  </si>
  <si>
    <t>UKPRN</t>
  </si>
  <si>
    <t>831</t>
  </si>
  <si>
    <t>Derby</t>
  </si>
  <si>
    <t>Lord Street Nursery School</t>
  </si>
  <si>
    <t>Local authority nursery school</t>
  </si>
  <si>
    <t>Open</t>
  </si>
  <si>
    <t>Nursery</t>
  </si>
  <si>
    <t>No boarders</t>
  </si>
  <si>
    <t>Has Nursery Classes</t>
  </si>
  <si>
    <t>Not applicable</t>
  </si>
  <si>
    <t>Mixed</t>
  </si>
  <si>
    <t>Does not apply</t>
  </si>
  <si>
    <t>Not under a federation</t>
  </si>
  <si>
    <t>Central Community Nursery School</t>
  </si>
  <si>
    <t>Supported by a federation</t>
  </si>
  <si>
    <t>Ashgate Nursery and Central Community Nursery Schools' Federation</t>
  </si>
  <si>
    <t>Harrington Nursery School</t>
  </si>
  <si>
    <t>Walbrook Nursery School</t>
  </si>
  <si>
    <t>Open, but proposed to close</t>
  </si>
  <si>
    <t>30-12-2025</t>
  </si>
  <si>
    <t>Pear Tree and  Walbrook Nursery School Federation</t>
  </si>
  <si>
    <t>Stonehill Nursery School</t>
  </si>
  <si>
    <t>Ashgate Nursery School</t>
  </si>
  <si>
    <t>Whitecross Nursery School</t>
  </si>
  <si>
    <t>Community school</t>
  </si>
  <si>
    <t>Does not have a sixth form</t>
  </si>
  <si>
    <t>No Nursery Classes</t>
  </si>
  <si>
    <t>Parkview Primary School and Redwood Primary School Federation</t>
  </si>
  <si>
    <t>Voluntary aided school</t>
  </si>
  <si>
    <t>Church of England</t>
  </si>
  <si>
    <t>Diocese of Derby</t>
  </si>
  <si>
    <t>Foundation school</t>
  </si>
  <si>
    <t>Has a sixth form</t>
  </si>
  <si>
    <t>None</t>
  </si>
  <si>
    <t>Non-selective</t>
  </si>
  <si>
    <t>Supported by a trust</t>
  </si>
  <si>
    <t>Bemrose Educational Trust</t>
  </si>
  <si>
    <t>Not supported by a trust</t>
  </si>
  <si>
    <t>01-09-1997</t>
  </si>
  <si>
    <t>01-09-1999</t>
  </si>
  <si>
    <t>Academy sponsor led</t>
  </si>
  <si>
    <t>01-09-2006</t>
  </si>
  <si>
    <t>Supported by a multi-academy trust</t>
  </si>
  <si>
    <t>LANDAU FORTE CHARITABLE TRUST</t>
  </si>
  <si>
    <t>Linked to a sponsor</t>
  </si>
  <si>
    <t>Landau Forte Charitable Trust</t>
  </si>
  <si>
    <t>Academy converter</t>
  </si>
  <si>
    <t>01-04-2011</t>
  </si>
  <si>
    <t>Supported by a single-academy trust</t>
  </si>
  <si>
    <t>WEST PARK SCHOOL</t>
  </si>
  <si>
    <t>-</t>
  </si>
  <si>
    <t>01-03-2012</t>
  </si>
  <si>
    <t>01-09-2012</t>
  </si>
  <si>
    <t>THE SPENCER ACADEMIES TRUST</t>
  </si>
  <si>
    <t>The Spencer Academies Trust</t>
  </si>
  <si>
    <t>Roman Catholic</t>
  </si>
  <si>
    <t>Diocese of Nottingham</t>
  </si>
  <si>
    <t>ST RALPH SHERWIN CATHOLIC MULTI ACADEMY TRUST</t>
  </si>
  <si>
    <t>St Ralph Sherwin Catholic Multi Academy Trust</t>
  </si>
  <si>
    <t>Free schools</t>
  </si>
  <si>
    <t>Muslim</t>
  </si>
  <si>
    <t>TRANSFORM TRUST</t>
  </si>
  <si>
    <t>Transform Trust</t>
  </si>
  <si>
    <t>01-12-2012</t>
  </si>
  <si>
    <t>ANTHEM SCHOOLS TRUST</t>
  </si>
  <si>
    <t>Anthem Schools Trust</t>
  </si>
  <si>
    <t>01-06-2014</t>
  </si>
  <si>
    <t>DERBY DIOCESAN ACADEMY TRUST</t>
  </si>
  <si>
    <t>Derby Diocesan Academy Trust</t>
  </si>
  <si>
    <t>01-01-2015</t>
  </si>
  <si>
    <t>01-01-2018</t>
  </si>
  <si>
    <t>01-04-2016</t>
  </si>
  <si>
    <t>03-09-2018</t>
  </si>
  <si>
    <t>01-02-2017</t>
  </si>
  <si>
    <t>L.E.A.D. ACADEMY TRUST</t>
  </si>
  <si>
    <t>L.E.A.D. Multi-Academy Trust</t>
  </si>
  <si>
    <t>01-01-2017</t>
  </si>
  <si>
    <t>ARCHWAY LEARNING TRUST</t>
  </si>
  <si>
    <t>Archway Learning Trust</t>
  </si>
  <si>
    <t>01-05-2017</t>
  </si>
  <si>
    <t>01-06-2017</t>
  </si>
  <si>
    <t>ONE ACADEMY TRUST</t>
  </si>
  <si>
    <t>01-07-2017</t>
  </si>
  <si>
    <t>01-09-2017</t>
  </si>
  <si>
    <t>THE HARMONY TRUST LTD</t>
  </si>
  <si>
    <t>The Harmony Trust</t>
  </si>
  <si>
    <t>QEGSMAT</t>
  </si>
  <si>
    <t>01-04-2018</t>
  </si>
  <si>
    <t>LEARNERS' TRUST</t>
  </si>
  <si>
    <t>Learners' Trust</t>
  </si>
  <si>
    <t>01-09-2018</t>
  </si>
  <si>
    <t>01-05-2018</t>
  </si>
  <si>
    <t>01-06-2018</t>
  </si>
  <si>
    <t>01-11-2018</t>
  </si>
  <si>
    <t>01-01-2019</t>
  </si>
  <si>
    <t>01-07-2019</t>
  </si>
  <si>
    <t>EAST MIDLANDS EDUCATION TRUST</t>
  </si>
  <si>
    <t>East Midlands Education Trust</t>
  </si>
  <si>
    <t>01-04-2019</t>
  </si>
  <si>
    <t>01-02-2019</t>
  </si>
  <si>
    <t>01-03-2019</t>
  </si>
  <si>
    <t>ODYSSEY COLLABORATIVE TRUST</t>
  </si>
  <si>
    <t>01-04-2021</t>
  </si>
  <si>
    <t>01-05-2019</t>
  </si>
  <si>
    <t>01-08-2019</t>
  </si>
  <si>
    <t>01-09-2019</t>
  </si>
  <si>
    <t>02-09-2019</t>
  </si>
  <si>
    <t>01-10-2019</t>
  </si>
  <si>
    <t>01-12-2019</t>
  </si>
  <si>
    <t>01-03-2020</t>
  </si>
  <si>
    <t>01-03-2021</t>
  </si>
  <si>
    <t>01-02-2021</t>
  </si>
  <si>
    <t>01-09-2021</t>
  </si>
  <si>
    <t>01-06-2021</t>
  </si>
  <si>
    <t>01-09-2023</t>
  </si>
  <si>
    <t>01-12-2023</t>
  </si>
  <si>
    <t>Sikh</t>
  </si>
  <si>
    <t>NISHKAM SCHOOLS MULTI ACADEMY TRUST</t>
  </si>
  <si>
    <t>Get Information about Schools - GOV.UK</t>
  </si>
  <si>
    <t>3 and 4 Year old Universal</t>
  </si>
  <si>
    <t>3 and 4 Year old Extended</t>
  </si>
  <si>
    <t>xxx</t>
  </si>
  <si>
    <t>all</t>
  </si>
  <si>
    <t>Expanded
Autumn Term 2025 Budget
15 weeks</t>
  </si>
  <si>
    <t>Universal
Spring Term 2026 Budget
11 weeks</t>
  </si>
  <si>
    <t>Expanded
Spring Term 2026 Budget
11 weeks</t>
  </si>
  <si>
    <t xml:space="preserve">Comment / Adjustment </t>
  </si>
  <si>
    <t>Autumn Term 2025 Budget
15 weeks</t>
  </si>
  <si>
    <t>Spring Term 2026 Budget
11 weeks</t>
  </si>
  <si>
    <t>Poss SBN Grant-Sep 2025</t>
  </si>
  <si>
    <t>Converted to CIC/ had prev reg</t>
  </si>
  <si>
    <t>Expected new Provision Jan 25</t>
  </si>
  <si>
    <t>Opening April 2025</t>
  </si>
  <si>
    <t>Opended Sep 2025 numbers Increasing</t>
  </si>
  <si>
    <t>Due to open Sep 25 120 place PDN</t>
  </si>
  <si>
    <t>Opended Sep24 nos quickly growing</t>
  </si>
  <si>
    <t>Universal
Autumn Term 2025 Budget
15 weeks</t>
  </si>
  <si>
    <t>Special School Budget 2025/26</t>
  </si>
  <si>
    <t>Academy</t>
  </si>
  <si>
    <t>SEN/Special</t>
  </si>
  <si>
    <t>Village Primary Academy ***</t>
  </si>
  <si>
    <t>Lakeside Primary Academy ***</t>
  </si>
  <si>
    <t>Cottons Farm Primary Academy ***</t>
  </si>
  <si>
    <t>Ash Croft Primary Academy ***</t>
  </si>
  <si>
    <t>Alvaston Junior Academy ***</t>
  </si>
  <si>
    <t>Chellaston Academy ****</t>
  </si>
  <si>
    <t>West Park ****</t>
  </si>
  <si>
    <t>*** based on the SLA agreement 24-25</t>
  </si>
  <si>
    <t>St Alban's Catholic Volutanry Academy ****</t>
  </si>
  <si>
    <t>Borrow Wood Primary Academy ****</t>
  </si>
  <si>
    <t>**** contact you SEN officer for your 2025-26 Element 3 rate</t>
  </si>
  <si>
    <t>Commissioned places per school</t>
  </si>
  <si>
    <t>TBC</t>
  </si>
  <si>
    <t>Funding before pupil led (element 3) 
£</t>
  </si>
  <si>
    <t>Pupil led funding as agreed with your SEN officer (Element 3) 
£</t>
  </si>
  <si>
    <t>Estimated Element 3 based 24-25 rate x places agreed as at time of budget setting
£</t>
  </si>
  <si>
    <t>Estimated Total of Element 2 and Element 3 funding
£</t>
  </si>
  <si>
    <t>Enhanced Resource Place Budget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</si>
</sst>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44" formatCode="_-&quot;£&quot;* #,##0.00_-;\-&quot;£&quot;* #,##0.00_-;_-&quot;£&quot;* &quot;-&quot;??_-;_-@_-"/>
    <numFmt numFmtId="43" formatCode="_-* #,##0.00_-;\-* #,##0.00_-;_-* &quot;-&quot;??_-;_-@_-"/>
    <numFmt numFmtId="164" formatCode="&quot;£&quot;#,##0"/>
    <numFmt numFmtId="165" formatCode="&quot;£&quot;#,##0.00"/>
    <numFmt numFmtId="166" formatCode="_(&quot;$&quot;* #,##0.00_);_(&quot;$&quot;* \(#,##0.00\);_(&quot;$&quot;* &quot;-&quot;??_);_(@_)"/>
    <numFmt numFmtId="167" formatCode="_-* #,##0_-;\-* #,##0_-;_-* &quot;-&quot;??_-;_-@_-"/>
    <numFmt numFmtId="168" formatCode="#,##0;\(#,##0\)"/>
    <numFmt numFmtId="169" formatCode="_(&quot;£&quot;* #,##0.00_);_(&quot;£&quot;* \(#,##0.00\);_(&quot;£&quot;* &quot;-&quot;??_);_(@_)"/>
    <numFmt numFmtId="170" formatCode="_(* #,##0.00_);_(* \(#,##0.00\);_(* &quot;-&quot;??_);_(@_)"/>
    <numFmt numFmtId="171" formatCode="&quot;£&quot;#,##0.0000000"/>
    <numFmt numFmtId="172" formatCode="#,##0_ ;\-#,##0\ "/>
    <numFmt numFmtId="173" formatCode="#,##0.00_ ;\-#,##0.00\ "/>
    <numFmt numFmtId="174" formatCode="#,##0.0000"/>
    <numFmt numFmtId="175" formatCode="&quot;£&quot;#,##0.00_);[Red]\(&quot;£&quot;#,##0.00\)"/>
    <numFmt numFmtId="176" formatCode="####"/>
    <numFmt numFmtId="177" formatCode="_-[$£-809]* #,##0.00_-;\-[$£-809]* #,##0.00_-;_-[$£-809]* &quot;-&quot;??_-;_-@_-"/>
  </numFmts>
  <fonts count="7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2"/>
      <name val="Arial"/>
      <family val="2"/>
    </font>
    <font>
      <b/>
      <sz val="10"/>
      <name val="Arial"/>
      <family val="2"/>
    </font>
    <font>
      <sz val="12"/>
      <name val="Arial"/>
      <family val="2"/>
    </font>
    <font>
      <sz val="10"/>
      <name val="Arial"/>
      <family val="2"/>
    </font>
    <font>
      <b/>
      <sz val="8"/>
      <name val="Arial"/>
      <family val="2"/>
    </font>
    <font>
      <sz val="8"/>
      <name val="Arial"/>
      <family val="2"/>
    </font>
    <font>
      <sz val="9"/>
      <color indexed="81"/>
      <name val="Tahoma"/>
      <family val="2"/>
    </font>
    <font>
      <b/>
      <sz val="9"/>
      <color indexed="81"/>
      <name val="Tahoma"/>
      <family val="2"/>
    </font>
    <font>
      <sz val="11"/>
      <name val="Calibri"/>
      <family val="2"/>
      <scheme val="minor"/>
    </font>
    <font>
      <sz val="10"/>
      <color indexed="21"/>
      <name val="System"/>
      <family val="2"/>
    </font>
    <font>
      <sz val="9"/>
      <color indexed="18"/>
      <name val="Arial"/>
      <family val="2"/>
    </font>
    <font>
      <sz val="10"/>
      <color indexed="18"/>
      <name val="System"/>
      <family val="2"/>
    </font>
    <font>
      <i/>
      <sz val="10"/>
      <color indexed="17"/>
      <name val="System"/>
      <family val="2"/>
    </font>
    <font>
      <sz val="11"/>
      <color indexed="8"/>
      <name val="Calibri"/>
      <family val="2"/>
    </font>
    <font>
      <sz val="11"/>
      <color theme="1"/>
      <name val="Calibri"/>
      <family val="2"/>
      <scheme val="minor"/>
    </font>
    <font>
      <sz val="10"/>
      <color indexed="14"/>
      <name val="System"/>
      <family val="2"/>
    </font>
    <font>
      <sz val="9"/>
      <name val="Arial"/>
      <family val="2"/>
    </font>
    <font>
      <sz val="10"/>
      <color indexed="17"/>
      <name val="System"/>
      <family val="2"/>
    </font>
    <font>
      <sz val="10"/>
      <name val="Arial"/>
      <family val="2"/>
    </font>
    <font>
      <b/>
      <sz val="10"/>
      <color indexed="23"/>
      <name val="Arial"/>
      <family val="2"/>
    </font>
    <font>
      <sz val="10"/>
      <color indexed="23"/>
      <name val="Arial"/>
      <family val="2"/>
    </font>
    <font>
      <b/>
      <sz val="10"/>
      <color indexed="55"/>
      <name val="Arial"/>
      <family val="2"/>
    </font>
    <font>
      <sz val="10"/>
      <color indexed="55"/>
      <name val="Arial"/>
      <family val="2"/>
    </font>
    <font>
      <sz val="10"/>
      <name val="Arial"/>
      <family val="2"/>
    </font>
    <font>
      <sz val="10"/>
      <color indexed="9"/>
      <name val="Arial"/>
      <family val="2"/>
    </font>
    <font>
      <u/>
      <sz val="10"/>
      <color indexed="12"/>
      <name val="Arial"/>
      <family val="2"/>
    </font>
    <font>
      <sz val="10"/>
      <color rgb="FF000000"/>
      <name val="Arial"/>
      <family val="2"/>
    </font>
    <font>
      <sz val="11"/>
      <color rgb="FF000000"/>
      <name val="Calibri"/>
      <family val="2"/>
      <scheme val="minor"/>
    </font>
    <font>
      <sz val="10"/>
      <name val="Arial"/>
      <family val="2"/>
    </font>
    <font>
      <b/>
      <sz val="11"/>
      <color theme="1"/>
      <name val="Calibri"/>
      <family val="2"/>
      <scheme val="minor"/>
    </font>
    <font>
      <sz val="12"/>
      <color theme="1"/>
      <name val="Arial"/>
      <family val="2"/>
    </font>
    <font>
      <sz val="10"/>
      <name val="Arial"/>
      <family val="2"/>
    </font>
    <font>
      <sz val="12"/>
      <color indexed="8"/>
      <name val="Arial"/>
      <family val="2"/>
    </font>
    <font>
      <b/>
      <sz val="12"/>
      <color theme="0" tint="-0.14996795556505021"/>
      <name val="Arial"/>
      <family val="2"/>
    </font>
    <font>
      <sz val="10"/>
      <name val="Arial"/>
      <family val="2"/>
    </font>
    <font>
      <sz val="12"/>
      <color theme="0"/>
      <name val="Arial"/>
      <family val="2"/>
    </font>
    <font>
      <u/>
      <sz val="10"/>
      <color theme="10"/>
      <name val="Arial"/>
      <family val="2"/>
    </font>
    <font>
      <sz val="10"/>
      <color theme="1"/>
      <name val="Calibri"/>
      <family val="2"/>
      <scheme val="minor"/>
    </font>
    <font>
      <b/>
      <sz val="14"/>
      <name val="Arial"/>
      <family val="2"/>
    </font>
    <font>
      <b/>
      <sz val="16"/>
      <name val="Arial"/>
      <family val="2"/>
    </font>
    <font>
      <sz val="11"/>
      <color rgb="FFFF0000"/>
      <name val="Calibri"/>
      <family val="2"/>
      <scheme val="minor"/>
    </font>
    <font>
      <sz val="14"/>
      <color theme="1"/>
      <name val="Arial"/>
      <family val="2"/>
    </font>
    <font>
      <b/>
      <sz val="11"/>
      <color theme="1"/>
      <name val="Arial"/>
      <family val="2"/>
    </font>
    <font>
      <b/>
      <sz val="18"/>
      <color theme="1"/>
      <name val="Arial"/>
      <family val="2"/>
    </font>
    <font>
      <sz val="16"/>
      <color theme="1"/>
      <name val="Arial"/>
      <family val="2"/>
    </font>
    <font>
      <b/>
      <sz val="16"/>
      <color theme="1"/>
      <name val="Arial"/>
      <family val="2"/>
    </font>
    <font>
      <sz val="10"/>
      <color theme="0"/>
      <name val="Arial"/>
      <family val="2"/>
    </font>
    <font>
      <sz val="8"/>
      <color indexed="81"/>
      <name val="Tahoma"/>
      <family val="2"/>
    </font>
    <font>
      <u/>
      <sz val="14"/>
      <color theme="1"/>
      <name val="Calibri"/>
      <family val="2"/>
      <scheme val="minor"/>
    </font>
    <font>
      <sz val="10"/>
      <color rgb="FF4D4D4D"/>
      <name val="Tahoma"/>
      <family val="2"/>
    </font>
    <font>
      <sz val="10"/>
      <color rgb="FF4D4D4D"/>
      <name val="Tahoma"/>
      <family val="2"/>
    </font>
    <font>
      <b/>
      <sz val="14"/>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color rgb="FFFF0000"/>
      <name val="Arial"/>
      <family val="2"/>
    </font>
    <font>
      <b/>
      <sz val="10"/>
      <color rgb="FFFF0000"/>
      <name val="Arial"/>
      <family val="2"/>
    </font>
    <font>
      <b/>
      <u/>
      <sz val="11"/>
      <name val="Verdana"/>
      <family val="2"/>
    </font>
    <font>
      <b/>
      <sz val="11"/>
      <name val="Verdana"/>
      <family val="2"/>
    </font>
    <font>
      <sz val="11"/>
      <color theme="1"/>
      <name val="Verdana"/>
      <family val="2"/>
    </font>
    <font>
      <sz val="11"/>
      <name val="Verdana"/>
      <family val="2"/>
    </font>
    <font>
      <b/>
      <u/>
      <sz val="12"/>
      <color theme="1"/>
      <name val="Arial"/>
      <family val="2"/>
    </font>
  </fonts>
  <fills count="2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patternFill>
    </fill>
    <fill>
      <patternFill patternType="solid">
        <fgColor theme="0" tint="-0.499984740745262"/>
        <bgColor indexed="64"/>
      </patternFill>
    </fill>
    <fill>
      <patternFill patternType="solid">
        <fgColor theme="1"/>
        <bgColor indexed="64"/>
      </patternFill>
    </fill>
    <fill>
      <patternFill patternType="solid">
        <fgColor theme="9"/>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8" tint="0.59999389629810485"/>
        <bgColor indexed="64"/>
      </patternFill>
    </fill>
    <fill>
      <patternFill patternType="solid">
        <fgColor rgb="FFD9D9D7"/>
        <bgColor indexed="64"/>
      </patternFill>
    </fill>
    <fill>
      <patternFill patternType="solid">
        <fgColor theme="9" tint="0.79998168889431442"/>
        <bgColor indexed="64"/>
      </patternFill>
    </fill>
    <fill>
      <patternFill patternType="solid">
        <fgColor rgb="FFFFFF99"/>
        <bgColor indexed="64"/>
      </patternFill>
    </fill>
    <fill>
      <patternFill patternType="solid">
        <fgColor rgb="FFC0C0C0"/>
        <bgColor indexed="64"/>
      </patternFill>
    </fill>
    <fill>
      <patternFill patternType="solid">
        <fgColor theme="8" tint="0.39997558519241921"/>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rgb="FFCCCCFF"/>
        <bgColor indexed="64"/>
      </patternFill>
    </fill>
    <fill>
      <patternFill patternType="solid">
        <fgColor rgb="FF9999FF"/>
        <bgColor indexed="64"/>
      </patternFill>
    </fill>
  </fills>
  <borders count="10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13"/>
      </top>
      <bottom style="thin">
        <color indexed="13"/>
      </bottom>
      <diagonal/>
    </border>
    <border>
      <left/>
      <right style="medium">
        <color indexed="33"/>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medium">
        <color indexed="64"/>
      </top>
      <bottom/>
      <diagonal/>
    </border>
    <border>
      <left style="thin">
        <color auto="1"/>
      </left>
      <right style="thin">
        <color auto="1"/>
      </right>
      <top/>
      <bottom style="thin">
        <color auto="1"/>
      </bottom>
      <diagonal/>
    </border>
    <border>
      <left/>
      <right/>
      <top style="thin">
        <color auto="1"/>
      </top>
      <bottom style="thin">
        <color indexed="64"/>
      </bottom>
      <diagonal/>
    </border>
    <border>
      <left/>
      <right style="thick">
        <color indexed="64"/>
      </right>
      <top style="medium">
        <color indexed="64"/>
      </top>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right/>
      <top style="thin">
        <color auto="1"/>
      </top>
      <bottom/>
      <diagonal/>
    </border>
    <border>
      <left/>
      <right/>
      <top style="thick">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23"/>
      </right>
      <top/>
      <bottom style="thin">
        <color indexed="23"/>
      </bottom>
      <diagonal/>
    </border>
    <border>
      <left style="thin">
        <color theme="2" tint="-0.499984740745262"/>
      </left>
      <right style="thin">
        <color theme="2" tint="-0.499984740745262"/>
      </right>
      <top style="medium">
        <color indexed="64"/>
      </top>
      <bottom style="medium">
        <color indexed="64"/>
      </bottom>
      <diagonal/>
    </border>
    <border>
      <left style="thin">
        <color theme="2" tint="-0.499984740745262"/>
      </left>
      <right/>
      <top style="medium">
        <color indexed="64"/>
      </top>
      <bottom style="medium">
        <color indexed="64"/>
      </bottom>
      <diagonal/>
    </border>
    <border>
      <left/>
      <right style="thin">
        <color theme="2" tint="-0.499984740745262"/>
      </right>
      <top style="medium">
        <color indexed="64"/>
      </top>
      <bottom style="medium">
        <color indexed="64"/>
      </bottom>
      <diagonal/>
    </border>
    <border>
      <left style="medium">
        <color indexed="64"/>
      </left>
      <right/>
      <top style="thin">
        <color theme="2" tint="-0.499984740745262"/>
      </top>
      <bottom style="double">
        <color theme="2" tint="-0.499984740745262"/>
      </bottom>
      <diagonal/>
    </border>
    <border>
      <left/>
      <right/>
      <top style="thin">
        <color theme="2" tint="-0.499984740745262"/>
      </top>
      <bottom style="double">
        <color theme="2" tint="-0.499984740745262"/>
      </bottom>
      <diagonal/>
    </border>
    <border>
      <left style="medium">
        <color indexed="64"/>
      </left>
      <right/>
      <top style="medium">
        <color indexed="64"/>
      </top>
      <bottom style="double">
        <color theme="2" tint="-0.499984740745262"/>
      </bottom>
      <diagonal/>
    </border>
    <border>
      <left/>
      <right/>
      <top style="medium">
        <color indexed="64"/>
      </top>
      <bottom style="double">
        <color theme="2" tint="-0.499984740745262"/>
      </bottom>
      <diagonal/>
    </border>
    <border>
      <left/>
      <right style="medium">
        <color indexed="64"/>
      </right>
      <top style="medium">
        <color indexed="64"/>
      </top>
      <bottom style="double">
        <color theme="2" tint="-0.499984740745262"/>
      </bottom>
      <diagonal/>
    </border>
    <border>
      <left style="medium">
        <color indexed="64"/>
      </left>
      <right style="medium">
        <color indexed="64"/>
      </right>
      <top style="medium">
        <color indexed="64"/>
      </top>
      <bottom style="double">
        <color theme="2" tint="-0.499984740745262"/>
      </bottom>
      <diagonal/>
    </border>
    <border>
      <left style="medium">
        <color indexed="64"/>
      </left>
      <right/>
      <top style="thin">
        <color theme="2" tint="-0.249977111117893"/>
      </top>
      <bottom/>
      <diagonal/>
    </border>
    <border>
      <left/>
      <right style="medium">
        <color indexed="64"/>
      </right>
      <top style="thin">
        <color theme="2" tint="-0.499984740745262"/>
      </top>
      <bottom style="double">
        <color theme="2" tint="-0.499984740745262"/>
      </bottom>
      <diagonal/>
    </border>
    <border>
      <left style="medium">
        <color indexed="64"/>
      </left>
      <right style="medium">
        <color indexed="64"/>
      </right>
      <top style="thin">
        <color theme="2" tint="-0.499984740745262"/>
      </top>
      <bottom style="double">
        <color theme="2" tint="-0.499984740745262"/>
      </bottom>
      <diagonal/>
    </border>
    <border>
      <left style="medium">
        <color indexed="64"/>
      </left>
      <right/>
      <top style="thin">
        <color theme="2" tint="-0.499984740745262"/>
      </top>
      <bottom style="medium">
        <color indexed="64"/>
      </bottom>
      <diagonal/>
    </border>
    <border>
      <left/>
      <right/>
      <top style="thin">
        <color theme="2" tint="-0.499984740745262"/>
      </top>
      <bottom style="medium">
        <color indexed="64"/>
      </bottom>
      <diagonal/>
    </border>
    <border>
      <left/>
      <right style="medium">
        <color indexed="64"/>
      </right>
      <top style="thin">
        <color theme="2" tint="-0.499984740745262"/>
      </top>
      <bottom style="medium">
        <color indexed="64"/>
      </bottom>
      <diagonal/>
    </border>
    <border>
      <left style="medium">
        <color indexed="64"/>
      </left>
      <right style="medium">
        <color indexed="64"/>
      </right>
      <top style="thin">
        <color theme="2" tint="-0.499984740745262"/>
      </top>
      <bottom style="medium">
        <color indexed="64"/>
      </bottom>
      <diagonal/>
    </border>
    <border>
      <left style="thin">
        <color rgb="FFE5E5E5"/>
      </left>
      <right style="thin">
        <color rgb="FFE5E5E5"/>
      </right>
      <top style="thin">
        <color rgb="FFE5E5E5"/>
      </top>
      <bottom style="thin">
        <color rgb="FFE5E5E5"/>
      </bottom>
      <diagonal/>
    </border>
    <border>
      <left style="thin">
        <color rgb="FFE5E5E5"/>
      </left>
      <right/>
      <top style="thin">
        <color rgb="FFE5E5E5"/>
      </top>
      <bottom style="thin">
        <color rgb="FFE5E5E5"/>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auto="1"/>
      </right>
      <top/>
      <bottom style="thin">
        <color auto="1"/>
      </bottom>
      <diagonal/>
    </border>
  </borders>
  <cellStyleXfs count="136">
    <xf numFmtId="0" fontId="0" fillId="0" borderId="0"/>
    <xf numFmtId="0" fontId="11" fillId="0" borderId="0"/>
    <xf numFmtId="9" fontId="11" fillId="0" borderId="0" applyFont="0" applyFill="0" applyBorder="0" applyAlignment="0" applyProtection="0"/>
    <xf numFmtId="0" fontId="11" fillId="0" borderId="0"/>
    <xf numFmtId="0" fontId="12" fillId="0" borderId="0">
      <alignment horizontal="center" vertical="center" wrapText="1"/>
    </xf>
    <xf numFmtId="0" fontId="13" fillId="0" borderId="17">
      <alignment horizontal="center" vertical="center" wrapText="1"/>
    </xf>
    <xf numFmtId="0" fontId="12" fillId="0" borderId="0">
      <alignment horizontal="left" wrapText="1"/>
    </xf>
    <xf numFmtId="0" fontId="13" fillId="0" borderId="0">
      <alignment horizontal="left" vertical="center"/>
    </xf>
    <xf numFmtId="0" fontId="13" fillId="0" borderId="0">
      <alignment horizontal="center" vertical="center"/>
    </xf>
    <xf numFmtId="3" fontId="13" fillId="0" borderId="0">
      <alignment horizontal="right"/>
    </xf>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7" fillId="0" borderId="0" applyNumberFormat="0" applyFill="0" applyBorder="0" applyAlignment="0" applyProtection="0">
      <protection locked="0"/>
    </xf>
    <xf numFmtId="1" fontId="18" fillId="0" borderId="0" applyNumberFormat="0" applyFill="0" applyBorder="0" applyAlignment="0" applyProtection="0"/>
    <xf numFmtId="1" fontId="19" fillId="0" borderId="0" applyNumberFormat="0" applyFill="0" applyBorder="0" applyAlignment="0" applyProtection="0"/>
    <xf numFmtId="10" fontId="20" fillId="0" borderId="18" applyFill="0" applyAlignment="0" applyProtection="0">
      <protection locked="0"/>
    </xf>
    <xf numFmtId="0" fontId="21" fillId="0" borderId="0"/>
    <xf numFmtId="0" fontId="11" fillId="0" borderId="0"/>
    <xf numFmtId="0" fontId="22" fillId="0" borderId="0"/>
    <xf numFmtId="9" fontId="11" fillId="0" borderId="0" applyFont="0" applyFill="0" applyBorder="0" applyAlignment="0" applyProtection="0"/>
    <xf numFmtId="1" fontId="23" fillId="0" borderId="19" applyNumberFormat="0" applyFill="0" applyBorder="0" applyAlignment="0" applyProtection="0"/>
    <xf numFmtId="0" fontId="11" fillId="0" borderId="0"/>
    <xf numFmtId="0" fontId="13" fillId="0" borderId="20" applyBorder="0">
      <alignment horizontal="right"/>
    </xf>
    <xf numFmtId="166" fontId="11" fillId="0" borderId="0"/>
    <xf numFmtId="166" fontId="11" fillId="0" borderId="0"/>
    <xf numFmtId="166" fontId="11" fillId="0" borderId="0"/>
    <xf numFmtId="0" fontId="24" fillId="0" borderId="0" applyNumberFormat="0" applyFill="0" applyBorder="0" applyAlignment="0" applyProtection="0"/>
    <xf numFmtId="0" fontId="25" fillId="0" borderId="0" applyNumberFormat="0" applyFill="0" applyBorder="0" applyAlignment="0" applyProtection="0"/>
    <xf numFmtId="0" fontId="6" fillId="0" borderId="0"/>
    <xf numFmtId="0" fontId="6" fillId="0" borderId="0"/>
    <xf numFmtId="0" fontId="11" fillId="0" borderId="0"/>
    <xf numFmtId="0" fontId="26" fillId="0" borderId="0"/>
    <xf numFmtId="0" fontId="6" fillId="0" borderId="0"/>
    <xf numFmtId="0" fontId="11" fillId="0" borderId="0"/>
    <xf numFmtId="0" fontId="11" fillId="0" borderId="0"/>
    <xf numFmtId="0" fontId="6" fillId="0" borderId="0"/>
    <xf numFmtId="0" fontId="6" fillId="0" borderId="0"/>
    <xf numFmtId="0" fontId="11" fillId="0" borderId="0"/>
    <xf numFmtId="0" fontId="11" fillId="0" borderId="0"/>
    <xf numFmtId="0" fontId="31" fillId="0" borderId="0"/>
    <xf numFmtId="0" fontId="6" fillId="0" borderId="0"/>
    <xf numFmtId="0" fontId="11" fillId="0" borderId="0"/>
    <xf numFmtId="43" fontId="6" fillId="0" borderId="0" applyFont="0" applyFill="0" applyBorder="0" applyAlignment="0" applyProtection="0"/>
    <xf numFmtId="9" fontId="6" fillId="0" borderId="0" applyFont="0" applyFill="0" applyBorder="0" applyAlignment="0" applyProtection="0"/>
    <xf numFmtId="0" fontId="22" fillId="0" borderId="0"/>
    <xf numFmtId="0" fontId="11" fillId="0" borderId="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33" fillId="0" borderId="0" applyNumberFormat="0" applyFill="0" applyBorder="0" applyAlignment="0" applyProtection="0">
      <alignment vertical="top"/>
      <protection locked="0"/>
    </xf>
    <xf numFmtId="0" fontId="22"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6" fillId="0" borderId="0"/>
    <xf numFmtId="0" fontId="11" fillId="0" borderId="0"/>
    <xf numFmtId="0" fontId="11" fillId="0" borderId="0"/>
    <xf numFmtId="0" fontId="11" fillId="0" borderId="0"/>
    <xf numFmtId="0" fontId="35" fillId="0" borderId="0"/>
    <xf numFmtId="0" fontId="36" fillId="0" borderId="0"/>
    <xf numFmtId="0" fontId="38" fillId="0" borderId="0"/>
    <xf numFmtId="0" fontId="38" fillId="0" borderId="0"/>
    <xf numFmtId="0" fontId="39" fillId="0" borderId="0"/>
    <xf numFmtId="43" fontId="6" fillId="0" borderId="0" applyFont="0" applyFill="0" applyBorder="0" applyAlignment="0" applyProtection="0"/>
    <xf numFmtId="0" fontId="13" fillId="0" borderId="17">
      <alignment horizontal="center" vertical="center" wrapText="1"/>
    </xf>
    <xf numFmtId="0" fontId="13" fillId="0" borderId="17">
      <alignment horizontal="center" vertical="center" wrapText="1"/>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10" fontId="20" fillId="0" borderId="18" applyFill="0" applyAlignment="0" applyProtection="0">
      <protection locked="0"/>
    </xf>
    <xf numFmtId="0" fontId="22" fillId="0" borderId="0"/>
    <xf numFmtId="0" fontId="22" fillId="0" borderId="0"/>
    <xf numFmtId="0" fontId="11" fillId="0" borderId="0"/>
    <xf numFmtId="0" fontId="6" fillId="0" borderId="0"/>
    <xf numFmtId="0" fontId="38" fillId="0" borderId="0"/>
    <xf numFmtId="0" fontId="6" fillId="8" borderId="61" applyNumberFormat="0" applyFont="0" applyAlignment="0" applyProtection="0"/>
    <xf numFmtId="0" fontId="6" fillId="8" borderId="61" applyNumberFormat="0" applyFont="0" applyAlignment="0" applyProtection="0"/>
    <xf numFmtId="9" fontId="6" fillId="0" borderId="0" applyFont="0" applyFill="0" applyBorder="0" applyAlignment="0" applyProtection="0"/>
    <xf numFmtId="9" fontId="40" fillId="0" borderId="0" applyFont="0" applyFill="0" applyBorder="0" applyAlignment="0" applyProtection="0"/>
    <xf numFmtId="0" fontId="5" fillId="0" borderId="0"/>
    <xf numFmtId="0" fontId="42" fillId="0" borderId="0"/>
    <xf numFmtId="0" fontId="4" fillId="0" borderId="0"/>
    <xf numFmtId="0" fontId="4" fillId="0" borderId="0"/>
    <xf numFmtId="0" fontId="35" fillId="0" borderId="0"/>
    <xf numFmtId="0" fontId="34" fillId="0" borderId="0">
      <alignment vertical="center"/>
    </xf>
    <xf numFmtId="0" fontId="3" fillId="0" borderId="0"/>
    <xf numFmtId="43" fontId="3" fillId="0" borderId="0" applyFont="0" applyFill="0" applyBorder="0" applyAlignment="0" applyProtection="0"/>
    <xf numFmtId="9" fontId="3" fillId="0" borderId="0" applyFont="0" applyFill="0" applyBorder="0" applyAlignment="0" applyProtection="0"/>
    <xf numFmtId="44" fontId="6" fillId="0" borderId="0" applyFont="0" applyFill="0" applyBorder="0" applyAlignment="0" applyProtection="0"/>
    <xf numFmtId="0" fontId="44" fillId="0" borderId="0" applyNumberFormat="0" applyFill="0" applyBorder="0" applyAlignment="0" applyProtection="0"/>
    <xf numFmtId="0" fontId="2" fillId="0" borderId="0"/>
    <xf numFmtId="43" fontId="2" fillId="0" borderId="0" applyFont="0" applyFill="0" applyBorder="0" applyAlignment="0" applyProtection="0"/>
  </cellStyleXfs>
  <cellXfs count="762">
    <xf numFmtId="0" fontId="0" fillId="0" borderId="0" xfId="0"/>
    <xf numFmtId="0" fontId="11" fillId="0" borderId="0" xfId="1"/>
    <xf numFmtId="0" fontId="0" fillId="0" borderId="0" xfId="0" applyAlignment="1">
      <alignment vertical="center"/>
    </xf>
    <xf numFmtId="0" fontId="11" fillId="0" borderId="21" xfId="47" applyBorder="1" applyAlignment="1">
      <alignment horizontal="left" vertical="center" wrapText="1"/>
    </xf>
    <xf numFmtId="0" fontId="10" fillId="0" borderId="25" xfId="47" applyFont="1" applyBorder="1" applyAlignment="1">
      <alignment horizontal="left" vertical="center"/>
    </xf>
    <xf numFmtId="0" fontId="10" fillId="0" borderId="25" xfId="47" applyFont="1" applyBorder="1" applyAlignment="1">
      <alignment horizontal="left" vertical="center" wrapText="1"/>
    </xf>
    <xf numFmtId="0" fontId="26" fillId="0" borderId="0" xfId="37" applyAlignment="1">
      <alignment vertical="center"/>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vertical="center"/>
    </xf>
    <xf numFmtId="3" fontId="7" fillId="0" borderId="0" xfId="0" applyNumberFormat="1" applyFont="1" applyAlignment="1">
      <alignment vertical="center"/>
    </xf>
    <xf numFmtId="3" fontId="0" fillId="0" borderId="0" xfId="0" applyNumberFormat="1" applyAlignment="1">
      <alignment horizontal="center" vertical="center"/>
    </xf>
    <xf numFmtId="0" fontId="7" fillId="0" borderId="0" xfId="0" applyFont="1" applyAlignment="1">
      <alignment vertical="center" wrapText="1"/>
    </xf>
    <xf numFmtId="1" fontId="0" fillId="0" borderId="0" xfId="0" applyNumberFormat="1" applyAlignment="1">
      <alignment vertical="center"/>
    </xf>
    <xf numFmtId="0" fontId="9" fillId="4" borderId="0" xfId="47" applyFont="1" applyFill="1" applyAlignment="1">
      <alignment horizontal="left" vertical="center"/>
    </xf>
    <xf numFmtId="0" fontId="0" fillId="0" borderId="0" xfId="0" applyAlignment="1">
      <alignment horizontal="center" vertical="center" wrapText="1"/>
    </xf>
    <xf numFmtId="0" fontId="8" fillId="6" borderId="6" xfId="23" applyFont="1" applyFill="1" applyBorder="1" applyAlignment="1">
      <alignment horizontal="left" vertical="center"/>
    </xf>
    <xf numFmtId="0" fontId="8" fillId="6" borderId="33" xfId="47" applyFont="1" applyFill="1" applyBorder="1" applyAlignment="1">
      <alignment horizontal="left" vertical="center"/>
    </xf>
    <xf numFmtId="0" fontId="8" fillId="6" borderId="32" xfId="47" applyFont="1" applyFill="1" applyBorder="1" applyAlignment="1">
      <alignment horizontal="left" vertical="center" wrapText="1"/>
    </xf>
    <xf numFmtId="0" fontId="7" fillId="6" borderId="10" xfId="0" applyFont="1" applyFill="1" applyBorder="1" applyAlignment="1">
      <alignment horizontal="center" vertical="center" wrapText="1"/>
    </xf>
    <xf numFmtId="0" fontId="7" fillId="6" borderId="10" xfId="0" applyFont="1" applyFill="1" applyBorder="1" applyAlignment="1">
      <alignment vertical="center" wrapText="1"/>
    </xf>
    <xf numFmtId="0" fontId="7" fillId="6" borderId="16" xfId="0" applyFont="1" applyFill="1" applyBorder="1" applyAlignment="1">
      <alignment horizontal="center" vertical="center" wrapText="1"/>
    </xf>
    <xf numFmtId="0" fontId="7" fillId="6" borderId="52"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11" fillId="0" borderId="10" xfId="1" applyBorder="1"/>
    <xf numFmtId="0" fontId="26" fillId="0" borderId="10" xfId="37" applyBorder="1" applyAlignment="1">
      <alignment horizontal="left" vertical="center"/>
    </xf>
    <xf numFmtId="0" fontId="26" fillId="0" borderId="10" xfId="37" applyBorder="1" applyAlignment="1">
      <alignment horizontal="center" vertical="center"/>
    </xf>
    <xf numFmtId="0" fontId="11" fillId="0" borderId="10" xfId="37" applyFont="1" applyBorder="1" applyAlignment="1">
      <alignment horizontal="center" vertical="center"/>
    </xf>
    <xf numFmtId="3" fontId="9" fillId="0" borderId="10" xfId="0" applyNumberFormat="1" applyFont="1" applyBorder="1" applyAlignment="1">
      <alignment horizontal="left" vertical="center"/>
    </xf>
    <xf numFmtId="3" fontId="9" fillId="0" borderId="10" xfId="0" applyNumberFormat="1" applyFont="1" applyBorder="1" applyAlignment="1">
      <alignment horizontal="center" vertical="center"/>
    </xf>
    <xf numFmtId="0" fontId="26" fillId="6" borderId="10" xfId="37" applyFill="1" applyBorder="1" applyAlignment="1">
      <alignment horizontal="center" vertical="center"/>
    </xf>
    <xf numFmtId="0" fontId="0" fillId="0" borderId="10" xfId="0" applyBorder="1" applyAlignment="1">
      <alignment vertical="center"/>
    </xf>
    <xf numFmtId="0" fontId="0" fillId="0" borderId="10" xfId="0"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vertical="center"/>
    </xf>
    <xf numFmtId="4" fontId="7" fillId="0" borderId="10" xfId="0" applyNumberFormat="1" applyFont="1" applyBorder="1" applyAlignment="1">
      <alignment horizontal="center" vertical="center"/>
    </xf>
    <xf numFmtId="165" fontId="7" fillId="0" borderId="10" xfId="0" applyNumberFormat="1" applyFont="1" applyBorder="1" applyAlignment="1">
      <alignment horizontal="center" vertical="center"/>
    </xf>
    <xf numFmtId="1" fontId="0" fillId="0" borderId="10" xfId="0" applyNumberFormat="1" applyBorder="1" applyAlignment="1">
      <alignment horizontal="center" vertical="center"/>
    </xf>
    <xf numFmtId="4" fontId="0" fillId="0" borderId="10" xfId="0" applyNumberFormat="1" applyBorder="1" applyAlignment="1">
      <alignment horizontal="center" vertical="center"/>
    </xf>
    <xf numFmtId="3" fontId="7" fillId="0" borderId="10" xfId="0" applyNumberFormat="1" applyFont="1" applyBorder="1" applyAlignment="1">
      <alignment horizontal="center" vertical="center"/>
    </xf>
    <xf numFmtId="44" fontId="11" fillId="0" borderId="0" xfId="132" applyFont="1" applyAlignment="1">
      <alignment horizontal="left"/>
    </xf>
    <xf numFmtId="44" fontId="0" fillId="0" borderId="0" xfId="132" applyFont="1" applyAlignment="1">
      <alignment horizontal="left" vertical="center"/>
    </xf>
    <xf numFmtId="0" fontId="8" fillId="0" borderId="27" xfId="47" applyFont="1" applyBorder="1" applyAlignment="1">
      <alignment horizontal="left" vertical="center" wrapText="1"/>
    </xf>
    <xf numFmtId="0" fontId="8" fillId="0" borderId="27" xfId="47" applyFont="1" applyBorder="1" applyAlignment="1">
      <alignment horizontal="left" vertical="center"/>
    </xf>
    <xf numFmtId="0" fontId="44" fillId="0" borderId="0" xfId="133" applyAlignment="1">
      <alignment vertical="center"/>
    </xf>
    <xf numFmtId="0" fontId="44" fillId="0" borderId="0" xfId="133" applyAlignment="1">
      <alignment horizontal="center" vertical="center"/>
    </xf>
    <xf numFmtId="0" fontId="44" fillId="0" borderId="0" xfId="133" applyAlignment="1">
      <alignment horizontal="left" vertical="center"/>
    </xf>
    <xf numFmtId="0" fontId="44" fillId="0" borderId="0" xfId="133" applyAlignment="1">
      <alignment vertical="center" wrapText="1"/>
    </xf>
    <xf numFmtId="0" fontId="8" fillId="4" borderId="24" xfId="47" applyFont="1" applyFill="1" applyBorder="1" applyAlignment="1">
      <alignment horizontal="left" vertical="center" wrapText="1"/>
    </xf>
    <xf numFmtId="0" fontId="8" fillId="4" borderId="0" xfId="47" applyFont="1" applyFill="1" applyAlignment="1">
      <alignment horizontal="left" vertical="center" wrapText="1"/>
    </xf>
    <xf numFmtId="0" fontId="11" fillId="4" borderId="0" xfId="47" applyFill="1" applyAlignment="1">
      <alignment horizontal="left" vertical="center" wrapText="1"/>
    </xf>
    <xf numFmtId="0" fontId="11" fillId="4" borderId="0" xfId="47" applyFill="1" applyAlignment="1">
      <alignment horizontal="left" vertical="center"/>
    </xf>
    <xf numFmtId="3" fontId="11" fillId="4" borderId="0" xfId="47" applyNumberFormat="1" applyFill="1" applyAlignment="1">
      <alignment horizontal="left" vertical="center"/>
    </xf>
    <xf numFmtId="0" fontId="11" fillId="4" borderId="24" xfId="47" applyFill="1" applyBorder="1" applyAlignment="1">
      <alignment horizontal="left" vertical="center"/>
    </xf>
    <xf numFmtId="3" fontId="11" fillId="4" borderId="2" xfId="47" applyNumberFormat="1" applyFill="1" applyBorder="1" applyAlignment="1">
      <alignment horizontal="left" vertical="center"/>
    </xf>
    <xf numFmtId="0" fontId="11" fillId="4" borderId="3" xfId="47" applyFill="1" applyBorder="1" applyAlignment="1">
      <alignment horizontal="left" vertical="center"/>
    </xf>
    <xf numFmtId="0" fontId="10" fillId="4" borderId="0" xfId="23" applyFont="1" applyFill="1" applyAlignment="1">
      <alignment horizontal="left" vertical="center"/>
    </xf>
    <xf numFmtId="0" fontId="8" fillId="4" borderId="0" xfId="23" applyFont="1" applyFill="1" applyAlignment="1">
      <alignment horizontal="left" vertical="center"/>
    </xf>
    <xf numFmtId="0" fontId="8" fillId="4" borderId="0" xfId="23" applyFont="1" applyFill="1" applyAlignment="1">
      <alignment horizontal="left" vertical="center" wrapText="1"/>
    </xf>
    <xf numFmtId="0" fontId="8" fillId="4" borderId="3" xfId="23" applyFont="1" applyFill="1" applyBorder="1" applyAlignment="1">
      <alignment horizontal="left" vertical="center"/>
    </xf>
    <xf numFmtId="0" fontId="8" fillId="4" borderId="0" xfId="47" applyFont="1" applyFill="1" applyAlignment="1">
      <alignment horizontal="left" vertical="center"/>
    </xf>
    <xf numFmtId="165" fontId="8" fillId="4" borderId="0" xfId="23" applyNumberFormat="1" applyFont="1" applyFill="1" applyAlignment="1">
      <alignment horizontal="left" vertical="center" wrapText="1"/>
    </xf>
    <xf numFmtId="164" fontId="10" fillId="4" borderId="0" xfId="23" applyNumberFormat="1" applyFont="1" applyFill="1" applyAlignment="1">
      <alignment horizontal="left" vertical="center"/>
    </xf>
    <xf numFmtId="165" fontId="10" fillId="4" borderId="0" xfId="23" applyNumberFormat="1" applyFont="1" applyFill="1" applyAlignment="1">
      <alignment horizontal="left" vertical="center"/>
    </xf>
    <xf numFmtId="0" fontId="8" fillId="6" borderId="33" xfId="23" applyFont="1" applyFill="1" applyBorder="1" applyAlignment="1">
      <alignment horizontal="left" vertical="center" wrapText="1"/>
    </xf>
    <xf numFmtId="0" fontId="10" fillId="3" borderId="57" xfId="23" applyFont="1" applyFill="1" applyBorder="1" applyAlignment="1">
      <alignment horizontal="left" vertical="center"/>
    </xf>
    <xf numFmtId="164" fontId="11" fillId="4" borderId="0" xfId="47" applyNumberFormat="1" applyFill="1" applyAlignment="1">
      <alignment horizontal="left" vertical="center"/>
    </xf>
    <xf numFmtId="0" fontId="8" fillId="6" borderId="7" xfId="23" applyFont="1" applyFill="1" applyBorder="1" applyAlignment="1">
      <alignment horizontal="left" vertical="center"/>
    </xf>
    <xf numFmtId="0" fontId="10" fillId="6" borderId="7" xfId="23" applyFont="1" applyFill="1" applyBorder="1" applyAlignment="1">
      <alignment horizontal="left" vertical="center"/>
    </xf>
    <xf numFmtId="164" fontId="9" fillId="4" borderId="0" xfId="47" applyNumberFormat="1" applyFont="1" applyFill="1" applyAlignment="1">
      <alignment horizontal="left" vertical="center"/>
    </xf>
    <xf numFmtId="3" fontId="9" fillId="4" borderId="0" xfId="47" applyNumberFormat="1" applyFont="1" applyFill="1" applyAlignment="1">
      <alignment horizontal="left" vertical="center"/>
    </xf>
    <xf numFmtId="0" fontId="10" fillId="4" borderId="24" xfId="47" applyFont="1" applyFill="1" applyBorder="1" applyAlignment="1">
      <alignment horizontal="left" vertical="center"/>
    </xf>
    <xf numFmtId="0" fontId="10" fillId="4" borderId="0" xfId="47" applyFont="1" applyFill="1" applyAlignment="1">
      <alignment horizontal="left" vertical="center"/>
    </xf>
    <xf numFmtId="0" fontId="9" fillId="6" borderId="32" xfId="47" applyFont="1" applyFill="1" applyBorder="1" applyAlignment="1">
      <alignment horizontal="left" vertical="center" wrapText="1"/>
    </xf>
    <xf numFmtId="0" fontId="9" fillId="6" borderId="10" xfId="47" applyFont="1" applyFill="1" applyBorder="1" applyAlignment="1">
      <alignment horizontal="left" vertical="center" wrapText="1"/>
    </xf>
    <xf numFmtId="164" fontId="10" fillId="4" borderId="0" xfId="47" applyNumberFormat="1" applyFont="1" applyFill="1" applyAlignment="1">
      <alignment horizontal="left" vertical="center"/>
    </xf>
    <xf numFmtId="0" fontId="8" fillId="0" borderId="32" xfId="47" applyFont="1" applyBorder="1" applyAlignment="1">
      <alignment horizontal="left" vertical="center" wrapText="1"/>
    </xf>
    <xf numFmtId="164" fontId="8" fillId="4" borderId="0" xfId="47" applyNumberFormat="1" applyFont="1" applyFill="1" applyAlignment="1">
      <alignment horizontal="left" vertical="center"/>
    </xf>
    <xf numFmtId="0" fontId="11" fillId="0" borderId="0" xfId="47" applyAlignment="1">
      <alignment horizontal="left" vertical="center"/>
    </xf>
    <xf numFmtId="0" fontId="9" fillId="6" borderId="30" xfId="47" applyFont="1" applyFill="1" applyBorder="1" applyAlignment="1">
      <alignment horizontal="left" vertical="center" wrapText="1"/>
    </xf>
    <xf numFmtId="164" fontId="8" fillId="4" borderId="24" xfId="47" applyNumberFormat="1" applyFont="1" applyFill="1" applyBorder="1" applyAlignment="1">
      <alignment horizontal="left" vertical="center"/>
    </xf>
    <xf numFmtId="164" fontId="8" fillId="4" borderId="2" xfId="47" applyNumberFormat="1" applyFont="1" applyFill="1" applyBorder="1" applyAlignment="1">
      <alignment horizontal="left" vertical="center"/>
    </xf>
    <xf numFmtId="0" fontId="9" fillId="4" borderId="3" xfId="47" applyFont="1" applyFill="1" applyBorder="1" applyAlignment="1">
      <alignment horizontal="left" vertical="center"/>
    </xf>
    <xf numFmtId="0" fontId="9" fillId="5" borderId="49" xfId="47" applyFont="1" applyFill="1" applyBorder="1" applyAlignment="1">
      <alignment horizontal="left" vertical="center"/>
    </xf>
    <xf numFmtId="0" fontId="11" fillId="5" borderId="50" xfId="47" applyFill="1" applyBorder="1" applyAlignment="1">
      <alignment horizontal="left" vertical="center"/>
    </xf>
    <xf numFmtId="3" fontId="11" fillId="5" borderId="50" xfId="47" applyNumberFormat="1" applyFill="1" applyBorder="1" applyAlignment="1">
      <alignment horizontal="left" vertical="center"/>
    </xf>
    <xf numFmtId="0" fontId="9" fillId="6" borderId="29" xfId="47" applyFont="1" applyFill="1" applyBorder="1" applyAlignment="1">
      <alignment horizontal="left" vertical="center" wrapText="1"/>
    </xf>
    <xf numFmtId="0" fontId="27" fillId="6" borderId="36" xfId="47" applyFont="1" applyFill="1" applyBorder="1" applyAlignment="1">
      <alignment horizontal="left" vertical="center"/>
    </xf>
    <xf numFmtId="0" fontId="11" fillId="4" borderId="43" xfId="1" applyFill="1" applyBorder="1" applyAlignment="1">
      <alignment horizontal="left" vertical="center" wrapText="1"/>
    </xf>
    <xf numFmtId="0" fontId="11" fillId="4" borderId="39" xfId="1" applyFill="1" applyBorder="1" applyAlignment="1">
      <alignment horizontal="left" vertical="center" wrapText="1"/>
    </xf>
    <xf numFmtId="0" fontId="8" fillId="4" borderId="27" xfId="47" applyFont="1" applyFill="1" applyBorder="1" applyAlignment="1">
      <alignment horizontal="left" vertical="center"/>
    </xf>
    <xf numFmtId="0" fontId="10" fillId="0" borderId="10" xfId="47" applyFont="1" applyBorder="1" applyAlignment="1">
      <alignment horizontal="left" vertical="center"/>
    </xf>
    <xf numFmtId="0" fontId="8" fillId="4" borderId="3" xfId="47" applyFont="1" applyFill="1" applyBorder="1" applyAlignment="1">
      <alignment horizontal="left" vertical="center"/>
    </xf>
    <xf numFmtId="0" fontId="10" fillId="0" borderId="26" xfId="47" applyFont="1" applyBorder="1" applyAlignment="1">
      <alignment horizontal="left" vertical="center"/>
    </xf>
    <xf numFmtId="0" fontId="27" fillId="6" borderId="32" xfId="47" applyFont="1" applyFill="1" applyBorder="1" applyAlignment="1">
      <alignment horizontal="left" vertical="center"/>
    </xf>
    <xf numFmtId="0" fontId="28" fillId="6" borderId="10" xfId="47" applyFont="1" applyFill="1" applyBorder="1" applyAlignment="1">
      <alignment horizontal="left" vertical="center"/>
    </xf>
    <xf numFmtId="164" fontId="8" fillId="4" borderId="39" xfId="47" applyNumberFormat="1" applyFont="1" applyFill="1" applyBorder="1" applyAlignment="1">
      <alignment horizontal="left" vertical="center"/>
    </xf>
    <xf numFmtId="164" fontId="8" fillId="4" borderId="43" xfId="47" applyNumberFormat="1" applyFont="1" applyFill="1" applyBorder="1" applyAlignment="1">
      <alignment horizontal="left" vertical="center"/>
    </xf>
    <xf numFmtId="0" fontId="29" fillId="6" borderId="3" xfId="47" applyFont="1" applyFill="1" applyBorder="1" applyAlignment="1">
      <alignment horizontal="left" vertical="center"/>
    </xf>
    <xf numFmtId="0" fontId="30" fillId="6" borderId="0" xfId="47" applyFont="1" applyFill="1" applyAlignment="1">
      <alignment horizontal="left" vertical="center"/>
    </xf>
    <xf numFmtId="0" fontId="8" fillId="6" borderId="29" xfId="47" applyFont="1" applyFill="1" applyBorder="1" applyAlignment="1">
      <alignment horizontal="left" vertical="center" wrapText="1"/>
    </xf>
    <xf numFmtId="0" fontId="8" fillId="0" borderId="29" xfId="47" applyFont="1" applyBorder="1" applyAlignment="1">
      <alignment horizontal="left" vertical="center" wrapText="1"/>
    </xf>
    <xf numFmtId="0" fontId="10" fillId="0" borderId="21" xfId="47" applyFont="1" applyBorder="1" applyAlignment="1">
      <alignment horizontal="left" vertical="center" wrapText="1"/>
    </xf>
    <xf numFmtId="0" fontId="8" fillId="6" borderId="56" xfId="47" applyFont="1" applyFill="1" applyBorder="1" applyAlignment="1">
      <alignment horizontal="left" vertical="center" wrapText="1"/>
    </xf>
    <xf numFmtId="0" fontId="9" fillId="6" borderId="54" xfId="47" applyFont="1" applyFill="1" applyBorder="1" applyAlignment="1">
      <alignment horizontal="left" vertical="center" wrapText="1"/>
    </xf>
    <xf numFmtId="0" fontId="9" fillId="6" borderId="34" xfId="47" applyFont="1" applyFill="1" applyBorder="1" applyAlignment="1">
      <alignment horizontal="left" vertical="center"/>
    </xf>
    <xf numFmtId="0" fontId="9" fillId="4" borderId="3" xfId="47" applyFont="1" applyFill="1" applyBorder="1" applyAlignment="1">
      <alignment horizontal="left" vertical="center" wrapText="1"/>
    </xf>
    <xf numFmtId="0" fontId="9" fillId="4" borderId="0" xfId="47" applyFont="1" applyFill="1" applyAlignment="1">
      <alignment horizontal="left" vertical="center" wrapText="1"/>
    </xf>
    <xf numFmtId="165" fontId="9" fillId="4" borderId="0" xfId="47" applyNumberFormat="1" applyFont="1" applyFill="1" applyAlignment="1">
      <alignment horizontal="left" vertical="center"/>
    </xf>
    <xf numFmtId="3" fontId="11" fillId="4" borderId="0" xfId="23" applyNumberFormat="1" applyFill="1" applyAlignment="1">
      <alignment horizontal="left" vertical="center"/>
    </xf>
    <xf numFmtId="3" fontId="8" fillId="4" borderId="24" xfId="47" applyNumberFormat="1" applyFont="1" applyFill="1" applyBorder="1" applyAlignment="1">
      <alignment horizontal="left" vertical="center"/>
    </xf>
    <xf numFmtId="3" fontId="8" fillId="4" borderId="0" xfId="47" applyNumberFormat="1" applyFont="1" applyFill="1" applyAlignment="1">
      <alignment horizontal="left" vertical="center"/>
    </xf>
    <xf numFmtId="0" fontId="11" fillId="4" borderId="0" xfId="23" applyFill="1" applyAlignment="1">
      <alignment horizontal="left" vertical="center"/>
    </xf>
    <xf numFmtId="1" fontId="10" fillId="4" borderId="0" xfId="47" applyNumberFormat="1" applyFont="1" applyFill="1" applyAlignment="1">
      <alignment horizontal="left" vertical="center"/>
    </xf>
    <xf numFmtId="3" fontId="10" fillId="4" borderId="0" xfId="47" applyNumberFormat="1" applyFont="1" applyFill="1" applyAlignment="1">
      <alignment horizontal="left" vertical="center"/>
    </xf>
    <xf numFmtId="0" fontId="11" fillId="6" borderId="8" xfId="47" applyFill="1" applyBorder="1" applyAlignment="1">
      <alignment horizontal="left" vertical="center" wrapText="1"/>
    </xf>
    <xf numFmtId="0" fontId="10" fillId="6" borderId="6" xfId="47" applyFont="1" applyFill="1" applyBorder="1" applyAlignment="1">
      <alignment horizontal="left" vertical="center" wrapText="1"/>
    </xf>
    <xf numFmtId="3" fontId="0" fillId="0" borderId="3" xfId="0" applyNumberFormat="1" applyBorder="1" applyAlignment="1">
      <alignment horizontal="left" vertical="center"/>
    </xf>
    <xf numFmtId="0" fontId="11" fillId="6" borderId="6" xfId="47" applyFill="1" applyBorder="1" applyAlignment="1">
      <alignment horizontal="left" vertical="center" wrapText="1"/>
    </xf>
    <xf numFmtId="0" fontId="11" fillId="4" borderId="8" xfId="47" applyFill="1" applyBorder="1" applyAlignment="1">
      <alignment horizontal="left" vertical="center" wrapText="1"/>
    </xf>
    <xf numFmtId="0" fontId="10" fillId="4" borderId="24" xfId="47" applyFont="1" applyFill="1" applyBorder="1" applyAlignment="1">
      <alignment horizontal="left" vertical="center" wrapText="1"/>
    </xf>
    <xf numFmtId="0" fontId="10" fillId="4" borderId="41" xfId="47" applyFont="1" applyFill="1" applyBorder="1" applyAlignment="1">
      <alignment horizontal="left" vertical="center" wrapText="1"/>
    </xf>
    <xf numFmtId="164" fontId="10" fillId="4" borderId="8" xfId="47" applyNumberFormat="1" applyFont="1" applyFill="1" applyBorder="1" applyAlignment="1">
      <alignment horizontal="left" vertical="center"/>
    </xf>
    <xf numFmtId="3" fontId="0" fillId="4" borderId="3" xfId="0" applyNumberFormat="1" applyFill="1" applyBorder="1" applyAlignment="1">
      <alignment horizontal="left" vertical="center"/>
    </xf>
    <xf numFmtId="165" fontId="16" fillId="4" borderId="1" xfId="47" applyNumberFormat="1" applyFont="1" applyFill="1" applyBorder="1" applyAlignment="1">
      <alignment horizontal="left" vertical="center"/>
    </xf>
    <xf numFmtId="165" fontId="16" fillId="4" borderId="41" xfId="47" applyNumberFormat="1" applyFont="1" applyFill="1" applyBorder="1" applyAlignment="1">
      <alignment horizontal="left" vertical="center"/>
    </xf>
    <xf numFmtId="3" fontId="16" fillId="4" borderId="25" xfId="1" applyNumberFormat="1" applyFont="1" applyFill="1" applyBorder="1" applyAlignment="1" applyProtection="1">
      <alignment horizontal="left" vertical="center"/>
      <protection locked="0"/>
    </xf>
    <xf numFmtId="3" fontId="16" fillId="4" borderId="10" xfId="1" applyNumberFormat="1" applyFont="1" applyFill="1" applyBorder="1" applyAlignment="1" applyProtection="1">
      <alignment horizontal="left" vertical="center"/>
      <protection locked="0"/>
    </xf>
    <xf numFmtId="164" fontId="8" fillId="4" borderId="13" xfId="47" applyNumberFormat="1" applyFont="1" applyFill="1" applyBorder="1" applyAlignment="1">
      <alignment horizontal="left" vertical="center"/>
    </xf>
    <xf numFmtId="0" fontId="10" fillId="4" borderId="6" xfId="47" applyFont="1" applyFill="1" applyBorder="1" applyAlignment="1">
      <alignment horizontal="left" vertical="center" wrapText="1"/>
    </xf>
    <xf numFmtId="0" fontId="10" fillId="4" borderId="46" xfId="47" applyFont="1" applyFill="1" applyBorder="1" applyAlignment="1">
      <alignment horizontal="left" vertical="center" wrapText="1"/>
    </xf>
    <xf numFmtId="0" fontId="10" fillId="4" borderId="7" xfId="47" applyFont="1" applyFill="1" applyBorder="1" applyAlignment="1">
      <alignment horizontal="left" vertical="center" wrapText="1"/>
    </xf>
    <xf numFmtId="165" fontId="16" fillId="4" borderId="3" xfId="47" applyNumberFormat="1" applyFont="1" applyFill="1" applyBorder="1" applyAlignment="1">
      <alignment horizontal="left" vertical="center"/>
    </xf>
    <xf numFmtId="165" fontId="16" fillId="4" borderId="42" xfId="47" applyNumberFormat="1" applyFont="1" applyFill="1" applyBorder="1" applyAlignment="1">
      <alignment horizontal="left" vertical="center"/>
    </xf>
    <xf numFmtId="0" fontId="11" fillId="4" borderId="6" xfId="47" applyFill="1" applyBorder="1" applyAlignment="1">
      <alignment horizontal="left" vertical="center" wrapText="1"/>
    </xf>
    <xf numFmtId="165" fontId="16" fillId="4" borderId="4" xfId="47" applyNumberFormat="1" applyFont="1" applyFill="1" applyBorder="1" applyAlignment="1">
      <alignment horizontal="left" vertical="center"/>
    </xf>
    <xf numFmtId="165" fontId="16" fillId="4" borderId="53" xfId="47" applyNumberFormat="1" applyFont="1" applyFill="1" applyBorder="1" applyAlignment="1">
      <alignment horizontal="left" vertical="center"/>
    </xf>
    <xf numFmtId="0" fontId="10" fillId="4" borderId="8" xfId="47" applyFont="1" applyFill="1" applyBorder="1" applyAlignment="1">
      <alignment horizontal="left" vertical="center" wrapText="1"/>
    </xf>
    <xf numFmtId="0" fontId="10" fillId="4" borderId="4" xfId="47" applyFont="1" applyFill="1" applyBorder="1" applyAlignment="1">
      <alignment horizontal="left" vertical="center" wrapText="1"/>
    </xf>
    <xf numFmtId="0" fontId="10" fillId="4" borderId="53" xfId="47" applyFont="1" applyFill="1" applyBorder="1" applyAlignment="1">
      <alignment horizontal="left" vertical="center" wrapText="1"/>
    </xf>
    <xf numFmtId="0" fontId="8" fillId="4" borderId="8" xfId="47" applyFont="1" applyFill="1" applyBorder="1" applyAlignment="1">
      <alignment horizontal="left" vertical="center"/>
    </xf>
    <xf numFmtId="0" fontId="8" fillId="4" borderId="6" xfId="47" applyFont="1" applyFill="1" applyBorder="1" applyAlignment="1">
      <alignment horizontal="left" vertical="center"/>
    </xf>
    <xf numFmtId="0" fontId="9" fillId="4" borderId="12" xfId="47" applyFont="1" applyFill="1" applyBorder="1" applyAlignment="1">
      <alignment horizontal="left" vertical="center"/>
    </xf>
    <xf numFmtId="164" fontId="8" fillId="4" borderId="12" xfId="47" applyNumberFormat="1" applyFont="1" applyFill="1" applyBorder="1" applyAlignment="1">
      <alignment horizontal="left" vertical="center"/>
    </xf>
    <xf numFmtId="3" fontId="11" fillId="0" borderId="0" xfId="47" applyNumberFormat="1" applyAlignment="1">
      <alignment horizontal="left" vertical="center"/>
    </xf>
    <xf numFmtId="0" fontId="8" fillId="6" borderId="16" xfId="47" applyFont="1" applyFill="1" applyBorder="1" applyAlignment="1">
      <alignment horizontal="left" vertical="center" wrapText="1"/>
    </xf>
    <xf numFmtId="0" fontId="10" fillId="0" borderId="64" xfId="47" applyFont="1" applyBorder="1" applyAlignment="1">
      <alignment horizontal="left" vertical="center" wrapText="1"/>
    </xf>
    <xf numFmtId="0" fontId="10" fillId="0" borderId="70" xfId="47" applyFont="1" applyBorder="1" applyAlignment="1">
      <alignment horizontal="left" vertical="center" wrapText="1"/>
    </xf>
    <xf numFmtId="10" fontId="10" fillId="4" borderId="39" xfId="47" applyNumberFormat="1" applyFont="1" applyFill="1" applyBorder="1" applyAlignment="1">
      <alignment horizontal="left" vertical="center"/>
    </xf>
    <xf numFmtId="10" fontId="10" fillId="4" borderId="43" xfId="47" applyNumberFormat="1" applyFont="1" applyFill="1" applyBorder="1" applyAlignment="1">
      <alignment horizontal="left" vertical="center"/>
    </xf>
    <xf numFmtId="164" fontId="10" fillId="3" borderId="39" xfId="23" applyNumberFormat="1" applyFont="1" applyFill="1" applyBorder="1" applyAlignment="1">
      <alignment horizontal="center" vertical="center"/>
    </xf>
    <xf numFmtId="3" fontId="8" fillId="6" borderId="8" xfId="23" applyNumberFormat="1" applyFont="1" applyFill="1" applyBorder="1" applyAlignment="1">
      <alignment horizontal="center" vertical="center" wrapText="1"/>
    </xf>
    <xf numFmtId="0" fontId="8" fillId="6" borderId="48" xfId="23" applyFont="1" applyFill="1" applyBorder="1" applyAlignment="1">
      <alignment horizontal="center" vertical="center" wrapText="1"/>
    </xf>
    <xf numFmtId="165" fontId="9" fillId="0" borderId="14" xfId="47" applyNumberFormat="1" applyFont="1" applyBorder="1" applyAlignment="1">
      <alignment horizontal="center" vertical="center" wrapText="1"/>
    </xf>
    <xf numFmtId="3" fontId="9" fillId="4" borderId="39" xfId="47" applyNumberFormat="1" applyFont="1" applyFill="1" applyBorder="1" applyAlignment="1">
      <alignment horizontal="center" vertical="center" wrapText="1"/>
    </xf>
    <xf numFmtId="165" fontId="10" fillId="6" borderId="10" xfId="47" applyNumberFormat="1" applyFont="1" applyFill="1" applyBorder="1" applyAlignment="1">
      <alignment horizontal="center" vertical="center" wrapText="1"/>
    </xf>
    <xf numFmtId="0" fontId="9" fillId="0" borderId="10" xfId="47" applyFont="1" applyBorder="1" applyAlignment="1">
      <alignment horizontal="center" vertical="center" wrapText="1"/>
    </xf>
    <xf numFmtId="3" fontId="10" fillId="0" borderId="25" xfId="47" applyNumberFormat="1" applyFont="1" applyBorder="1" applyAlignment="1">
      <alignment horizontal="center" vertical="center"/>
    </xf>
    <xf numFmtId="10" fontId="10" fillId="4" borderId="39" xfId="47" applyNumberFormat="1" applyFont="1" applyFill="1" applyBorder="1" applyAlignment="1">
      <alignment horizontal="center" vertical="center"/>
    </xf>
    <xf numFmtId="164" fontId="10" fillId="4" borderId="43" xfId="47" applyNumberFormat="1" applyFont="1" applyFill="1" applyBorder="1" applyAlignment="1">
      <alignment horizontal="center" vertical="center"/>
    </xf>
    <xf numFmtId="165" fontId="10" fillId="6" borderId="10" xfId="47" applyNumberFormat="1" applyFont="1" applyFill="1" applyBorder="1" applyAlignment="1">
      <alignment horizontal="center" vertical="center"/>
    </xf>
    <xf numFmtId="164" fontId="10" fillId="6" borderId="10" xfId="47" applyNumberFormat="1" applyFont="1" applyFill="1" applyBorder="1" applyAlignment="1">
      <alignment horizontal="center" vertical="center"/>
    </xf>
    <xf numFmtId="3" fontId="10" fillId="4" borderId="25" xfId="47" applyNumberFormat="1" applyFont="1" applyFill="1" applyBorder="1" applyAlignment="1">
      <alignment horizontal="center" vertical="center"/>
    </xf>
    <xf numFmtId="164" fontId="10" fillId="0" borderId="43" xfId="47" applyNumberFormat="1" applyFont="1" applyBorder="1" applyAlignment="1">
      <alignment horizontal="center" vertical="center"/>
    </xf>
    <xf numFmtId="0" fontId="9" fillId="0" borderId="26" xfId="47" applyFont="1" applyBorder="1" applyAlignment="1">
      <alignment horizontal="center" vertical="center" wrapText="1"/>
    </xf>
    <xf numFmtId="164" fontId="10" fillId="6" borderId="26" xfId="47" applyNumberFormat="1" applyFont="1" applyFill="1" applyBorder="1" applyAlignment="1">
      <alignment horizontal="center" vertical="center"/>
    </xf>
    <xf numFmtId="3" fontId="10" fillId="4" borderId="22" xfId="47" applyNumberFormat="1" applyFont="1" applyFill="1" applyBorder="1" applyAlignment="1">
      <alignment horizontal="center" vertical="center"/>
    </xf>
    <xf numFmtId="164" fontId="10" fillId="0" borderId="31" xfId="47" applyNumberFormat="1" applyFont="1" applyBorder="1" applyAlignment="1">
      <alignment horizontal="center" vertical="center"/>
    </xf>
    <xf numFmtId="165" fontId="28" fillId="6" borderId="10" xfId="47" applyNumberFormat="1" applyFont="1" applyFill="1" applyBorder="1" applyAlignment="1">
      <alignment horizontal="center" vertical="center"/>
    </xf>
    <xf numFmtId="165" fontId="8" fillId="6" borderId="10" xfId="47" applyNumberFormat="1" applyFont="1" applyFill="1" applyBorder="1" applyAlignment="1">
      <alignment horizontal="center" vertical="center"/>
    </xf>
    <xf numFmtId="3" fontId="8" fillId="6" borderId="10" xfId="47" applyNumberFormat="1" applyFont="1" applyFill="1" applyBorder="1" applyAlignment="1">
      <alignment horizontal="center" vertical="center"/>
    </xf>
    <xf numFmtId="164" fontId="8" fillId="6" borderId="28" xfId="47" applyNumberFormat="1" applyFont="1" applyFill="1" applyBorder="1" applyAlignment="1">
      <alignment horizontal="center" vertical="center"/>
    </xf>
    <xf numFmtId="164" fontId="8" fillId="6" borderId="43" xfId="47" applyNumberFormat="1" applyFont="1" applyFill="1" applyBorder="1" applyAlignment="1">
      <alignment horizontal="center" vertical="center"/>
    </xf>
    <xf numFmtId="164" fontId="8" fillId="4" borderId="13" xfId="47" applyNumberFormat="1" applyFont="1" applyFill="1" applyBorder="1" applyAlignment="1">
      <alignment horizontal="center" vertical="center"/>
    </xf>
    <xf numFmtId="3" fontId="8" fillId="6" borderId="25" xfId="47" applyNumberFormat="1" applyFont="1" applyFill="1" applyBorder="1" applyAlignment="1">
      <alignment horizontal="center" vertical="center"/>
    </xf>
    <xf numFmtId="3" fontId="9" fillId="0" borderId="47" xfId="47" applyNumberFormat="1" applyFont="1" applyBorder="1" applyAlignment="1">
      <alignment horizontal="center" vertical="center"/>
    </xf>
    <xf numFmtId="164" fontId="11" fillId="6" borderId="10" xfId="47" applyNumberFormat="1" applyFill="1" applyBorder="1" applyAlignment="1">
      <alignment horizontal="center" vertical="center" wrapText="1"/>
    </xf>
    <xf numFmtId="1" fontId="11" fillId="0" borderId="10" xfId="47" applyNumberFormat="1" applyBorder="1" applyAlignment="1">
      <alignment horizontal="center" vertical="center"/>
    </xf>
    <xf numFmtId="3" fontId="11" fillId="0" borderId="16" xfId="47" applyNumberFormat="1" applyBorder="1" applyAlignment="1">
      <alignment horizontal="center" vertical="center"/>
    </xf>
    <xf numFmtId="164" fontId="10" fillId="0" borderId="16" xfId="47" applyNumberFormat="1" applyFont="1" applyBorder="1" applyAlignment="1">
      <alignment horizontal="center" vertical="center"/>
    </xf>
    <xf numFmtId="165" fontId="30" fillId="6" borderId="0" xfId="47" applyNumberFormat="1" applyFont="1" applyFill="1" applyAlignment="1">
      <alignment horizontal="center" vertical="center"/>
    </xf>
    <xf numFmtId="165" fontId="8" fillId="6" borderId="0" xfId="47" applyNumberFormat="1" applyFont="1" applyFill="1" applyAlignment="1">
      <alignment horizontal="center" vertical="center"/>
    </xf>
    <xf numFmtId="3" fontId="41" fillId="6" borderId="10" xfId="47" applyNumberFormat="1" applyFont="1" applyFill="1" applyBorder="1" applyAlignment="1">
      <alignment horizontal="center" vertical="center"/>
    </xf>
    <xf numFmtId="3" fontId="41" fillId="6" borderId="16" xfId="47" applyNumberFormat="1" applyFont="1" applyFill="1" applyBorder="1" applyAlignment="1">
      <alignment horizontal="center" vertical="center"/>
    </xf>
    <xf numFmtId="0" fontId="9" fillId="6" borderId="26" xfId="47" applyFont="1" applyFill="1" applyBorder="1" applyAlignment="1">
      <alignment horizontal="center" vertical="center" wrapText="1"/>
    </xf>
    <xf numFmtId="164" fontId="9" fillId="6" borderId="21" xfId="47" applyNumberFormat="1" applyFont="1" applyFill="1" applyBorder="1" applyAlignment="1">
      <alignment horizontal="center" vertical="center"/>
    </xf>
    <xf numFmtId="164" fontId="9" fillId="6" borderId="39" xfId="47" applyNumberFormat="1" applyFont="1" applyFill="1" applyBorder="1" applyAlignment="1">
      <alignment horizontal="center" vertical="center"/>
    </xf>
    <xf numFmtId="3" fontId="9" fillId="6" borderId="25" xfId="47" applyNumberFormat="1" applyFont="1" applyFill="1" applyBorder="1" applyAlignment="1">
      <alignment horizontal="center" vertical="center" wrapText="1"/>
    </xf>
    <xf numFmtId="0" fontId="9" fillId="6" borderId="10" xfId="47" applyFont="1" applyFill="1" applyBorder="1" applyAlignment="1">
      <alignment horizontal="center" vertical="center" wrapText="1"/>
    </xf>
    <xf numFmtId="10" fontId="10" fillId="6" borderId="10" xfId="47" applyNumberFormat="1" applyFont="1" applyFill="1" applyBorder="1" applyAlignment="1">
      <alignment horizontal="center" vertical="center"/>
    </xf>
    <xf numFmtId="0" fontId="9" fillId="6" borderId="26" xfId="47" applyFont="1" applyFill="1" applyBorder="1" applyAlignment="1">
      <alignment horizontal="center" vertical="center"/>
    </xf>
    <xf numFmtId="3" fontId="9" fillId="6" borderId="38" xfId="47" applyNumberFormat="1" applyFont="1" applyFill="1" applyBorder="1" applyAlignment="1">
      <alignment horizontal="center" vertical="center"/>
    </xf>
    <xf numFmtId="3" fontId="9" fillId="6" borderId="31" xfId="47" applyNumberFormat="1" applyFont="1" applyFill="1" applyBorder="1" applyAlignment="1">
      <alignment horizontal="center" vertical="center"/>
    </xf>
    <xf numFmtId="1" fontId="10" fillId="0" borderId="25" xfId="47" applyNumberFormat="1" applyFont="1" applyBorder="1" applyAlignment="1">
      <alignment horizontal="center" vertical="center"/>
    </xf>
    <xf numFmtId="164" fontId="10" fillId="4" borderId="39" xfId="47" applyNumberFormat="1" applyFont="1" applyFill="1" applyBorder="1" applyAlignment="1">
      <alignment horizontal="center" vertical="center"/>
    </xf>
    <xf numFmtId="164" fontId="10" fillId="4" borderId="28" xfId="47" applyNumberFormat="1" applyFont="1" applyFill="1" applyBorder="1" applyAlignment="1">
      <alignment horizontal="center" vertical="center"/>
    </xf>
    <xf numFmtId="3" fontId="9" fillId="4" borderId="38" xfId="47" applyNumberFormat="1" applyFont="1" applyFill="1" applyBorder="1" applyAlignment="1">
      <alignment horizontal="center" vertical="center"/>
    </xf>
    <xf numFmtId="3" fontId="9" fillId="4" borderId="31" xfId="47" applyNumberFormat="1" applyFont="1" applyFill="1" applyBorder="1" applyAlignment="1">
      <alignment horizontal="center" vertical="center"/>
    </xf>
    <xf numFmtId="0" fontId="10" fillId="0" borderId="25" xfId="47" applyFont="1" applyBorder="1" applyAlignment="1">
      <alignment horizontal="center" vertical="center"/>
    </xf>
    <xf numFmtId="165" fontId="10" fillId="4" borderId="39" xfId="47" applyNumberFormat="1" applyFont="1" applyFill="1" applyBorder="1" applyAlignment="1">
      <alignment horizontal="center" vertical="center"/>
    </xf>
    <xf numFmtId="165" fontId="10" fillId="4" borderId="28" xfId="47" applyNumberFormat="1" applyFont="1" applyFill="1" applyBorder="1" applyAlignment="1">
      <alignment horizontal="center" vertical="center"/>
    </xf>
    <xf numFmtId="3" fontId="9" fillId="6" borderId="38" xfId="47" applyNumberFormat="1" applyFont="1" applyFill="1" applyBorder="1" applyAlignment="1">
      <alignment horizontal="center" vertical="center" wrapText="1"/>
    </xf>
    <xf numFmtId="3" fontId="9" fillId="4" borderId="37" xfId="47" applyNumberFormat="1" applyFont="1" applyFill="1" applyBorder="1" applyAlignment="1">
      <alignment horizontal="center" vertical="center"/>
    </xf>
    <xf numFmtId="3" fontId="9" fillId="6" borderId="58" xfId="47" applyNumberFormat="1" applyFont="1" applyFill="1" applyBorder="1" applyAlignment="1">
      <alignment horizontal="center" vertical="center" wrapText="1"/>
    </xf>
    <xf numFmtId="0" fontId="9" fillId="6" borderId="34" xfId="47" applyFont="1" applyFill="1" applyBorder="1" applyAlignment="1">
      <alignment horizontal="center" vertical="center"/>
    </xf>
    <xf numFmtId="0" fontId="8" fillId="6" borderId="7" xfId="47" applyFont="1" applyFill="1" applyBorder="1" applyAlignment="1">
      <alignment horizontal="center" vertical="center"/>
    </xf>
    <xf numFmtId="164" fontId="9" fillId="6" borderId="35" xfId="47" applyNumberFormat="1" applyFont="1" applyFill="1" applyBorder="1" applyAlignment="1">
      <alignment horizontal="center" vertical="center"/>
    </xf>
    <xf numFmtId="10" fontId="8" fillId="4" borderId="8" xfId="47" applyNumberFormat="1" applyFont="1" applyFill="1" applyBorder="1" applyAlignment="1">
      <alignment horizontal="center" vertical="center"/>
    </xf>
    <xf numFmtId="0" fontId="10" fillId="6" borderId="24" xfId="47" applyFont="1" applyFill="1" applyBorder="1" applyAlignment="1">
      <alignment horizontal="center" vertical="center" wrapText="1"/>
    </xf>
    <xf numFmtId="0" fontId="10" fillId="6" borderId="41" xfId="47" applyFont="1" applyFill="1" applyBorder="1" applyAlignment="1">
      <alignment horizontal="center" vertical="center" wrapText="1"/>
    </xf>
    <xf numFmtId="0" fontId="10" fillId="6" borderId="6" xfId="47" applyFont="1" applyFill="1" applyBorder="1" applyAlignment="1">
      <alignment horizontal="center" vertical="center" wrapText="1"/>
    </xf>
    <xf numFmtId="0" fontId="10" fillId="6" borderId="46" xfId="47" applyFont="1" applyFill="1" applyBorder="1" applyAlignment="1">
      <alignment horizontal="center" vertical="center" wrapText="1"/>
    </xf>
    <xf numFmtId="164" fontId="10" fillId="6" borderId="8" xfId="47" applyNumberFormat="1" applyFont="1" applyFill="1" applyBorder="1" applyAlignment="1">
      <alignment horizontal="center" vertical="center"/>
    </xf>
    <xf numFmtId="165" fontId="16" fillId="6" borderId="33" xfId="47" applyNumberFormat="1" applyFont="1" applyFill="1" applyBorder="1" applyAlignment="1">
      <alignment horizontal="center" vertical="center"/>
    </xf>
    <xf numFmtId="165" fontId="16" fillId="6" borderId="46" xfId="47" applyNumberFormat="1" applyFont="1" applyFill="1" applyBorder="1" applyAlignment="1">
      <alignment horizontal="center" vertical="center"/>
    </xf>
    <xf numFmtId="164" fontId="8" fillId="0" borderId="13" xfId="47" applyNumberFormat="1" applyFont="1" applyBorder="1" applyAlignment="1">
      <alignment horizontal="center" vertical="center"/>
    </xf>
    <xf numFmtId="0" fontId="10" fillId="6" borderId="7" xfId="47" applyFont="1" applyFill="1" applyBorder="1" applyAlignment="1">
      <alignment horizontal="center" vertical="center" wrapText="1"/>
    </xf>
    <xf numFmtId="165" fontId="16" fillId="6" borderId="3" xfId="47" applyNumberFormat="1" applyFont="1" applyFill="1" applyBorder="1" applyAlignment="1">
      <alignment horizontal="center" vertical="center"/>
    </xf>
    <xf numFmtId="165" fontId="16" fillId="6" borderId="42" xfId="47" applyNumberFormat="1" applyFont="1" applyFill="1" applyBorder="1" applyAlignment="1">
      <alignment horizontal="center" vertical="center"/>
    </xf>
    <xf numFmtId="0" fontId="11" fillId="6" borderId="6" xfId="47" applyFill="1" applyBorder="1" applyAlignment="1">
      <alignment horizontal="center" vertical="center" wrapText="1"/>
    </xf>
    <xf numFmtId="0" fontId="11" fillId="6" borderId="46" xfId="47" applyFill="1" applyBorder="1" applyAlignment="1">
      <alignment horizontal="center" vertical="center" wrapText="1"/>
    </xf>
    <xf numFmtId="164" fontId="8" fillId="6" borderId="12" xfId="47" applyNumberFormat="1" applyFont="1" applyFill="1" applyBorder="1" applyAlignment="1">
      <alignment horizontal="center" vertical="center"/>
    </xf>
    <xf numFmtId="0" fontId="8" fillId="4" borderId="0" xfId="23" applyFont="1" applyFill="1" applyAlignment="1">
      <alignment horizontal="center" vertical="center" wrapText="1"/>
    </xf>
    <xf numFmtId="0" fontId="8" fillId="6" borderId="8" xfId="23" applyFont="1" applyFill="1" applyBorder="1" applyAlignment="1">
      <alignment horizontal="center" vertical="center"/>
    </xf>
    <xf numFmtId="0" fontId="8" fillId="4" borderId="0" xfId="23" applyFont="1" applyFill="1" applyAlignment="1">
      <alignment horizontal="center" vertical="center"/>
    </xf>
    <xf numFmtId="0" fontId="10" fillId="3" borderId="9" xfId="23" applyFont="1" applyFill="1" applyBorder="1" applyAlignment="1">
      <alignment horizontal="center" vertical="center"/>
    </xf>
    <xf numFmtId="164" fontId="10" fillId="0" borderId="9" xfId="1" applyNumberFormat="1" applyFont="1" applyBorder="1" applyAlignment="1">
      <alignment horizontal="center" vertical="center"/>
    </xf>
    <xf numFmtId="0" fontId="9" fillId="7" borderId="8" xfId="47" applyFont="1" applyFill="1" applyBorder="1" applyAlignment="1">
      <alignment horizontal="center" vertical="center"/>
    </xf>
    <xf numFmtId="0" fontId="9" fillId="0" borderId="0" xfId="47" applyFont="1" applyAlignment="1">
      <alignment horizontal="center" vertical="center"/>
    </xf>
    <xf numFmtId="0" fontId="11" fillId="4" borderId="0" xfId="0" applyFont="1" applyFill="1" applyAlignment="1">
      <alignment horizontal="left"/>
    </xf>
    <xf numFmtId="3" fontId="11" fillId="4" borderId="39" xfId="47" applyNumberFormat="1" applyFill="1" applyBorder="1" applyAlignment="1">
      <alignment horizontal="center" vertical="center"/>
    </xf>
    <xf numFmtId="3" fontId="11" fillId="4" borderId="28" xfId="47" applyNumberFormat="1" applyFill="1" applyBorder="1" applyAlignment="1">
      <alignment horizontal="center" vertical="center"/>
    </xf>
    <xf numFmtId="165" fontId="7" fillId="0" borderId="10" xfId="132" applyNumberFormat="1" applyFont="1" applyBorder="1" applyAlignment="1">
      <alignment horizontal="center" vertical="center"/>
    </xf>
    <xf numFmtId="164" fontId="11" fillId="4" borderId="0" xfId="0" applyNumberFormat="1" applyFont="1" applyFill="1" applyAlignment="1">
      <alignment horizontal="left"/>
    </xf>
    <xf numFmtId="164" fontId="46" fillId="6" borderId="7" xfId="47" applyNumberFormat="1" applyFont="1" applyFill="1" applyBorder="1" applyAlignment="1">
      <alignment horizontal="center" vertical="center"/>
    </xf>
    <xf numFmtId="164" fontId="46" fillId="6" borderId="8" xfId="47" applyNumberFormat="1" applyFont="1" applyFill="1" applyBorder="1" applyAlignment="1">
      <alignment horizontal="center" vertical="center"/>
    </xf>
    <xf numFmtId="0" fontId="0" fillId="4" borderId="0" xfId="0" applyFill="1"/>
    <xf numFmtId="164" fontId="8" fillId="4" borderId="55" xfId="47" applyNumberFormat="1" applyFont="1" applyFill="1" applyBorder="1" applyAlignment="1">
      <alignment horizontal="left" vertical="center"/>
    </xf>
    <xf numFmtId="0" fontId="8" fillId="4" borderId="0" xfId="47" applyFont="1" applyFill="1" applyAlignment="1">
      <alignment vertical="center"/>
    </xf>
    <xf numFmtId="0" fontId="8" fillId="6" borderId="6" xfId="47" applyFont="1" applyFill="1" applyBorder="1" applyAlignment="1">
      <alignment vertical="center"/>
    </xf>
    <xf numFmtId="0" fontId="44" fillId="0" borderId="0" xfId="133" applyBorder="1" applyAlignment="1">
      <alignment horizontal="left" vertical="center" wrapText="1"/>
    </xf>
    <xf numFmtId="0" fontId="11" fillId="4" borderId="66" xfId="47" applyFill="1" applyBorder="1" applyAlignment="1">
      <alignment horizontal="center" vertical="center" wrapText="1"/>
    </xf>
    <xf numFmtId="0" fontId="11" fillId="4" borderId="66" xfId="47" applyFill="1" applyBorder="1" applyAlignment="1">
      <alignment horizontal="center" vertical="center"/>
    </xf>
    <xf numFmtId="164" fontId="43" fillId="4" borderId="66" xfId="47" applyNumberFormat="1" applyFont="1" applyFill="1" applyBorder="1" applyAlignment="1">
      <alignment horizontal="center" vertical="center"/>
    </xf>
    <xf numFmtId="164" fontId="11" fillId="4" borderId="66" xfId="47" applyNumberFormat="1" applyFill="1" applyBorder="1" applyAlignment="1">
      <alignment horizontal="center" vertical="center"/>
    </xf>
    <xf numFmtId="1" fontId="43" fillId="0" borderId="66" xfId="47" applyNumberFormat="1" applyFont="1" applyBorder="1" applyAlignment="1">
      <alignment horizontal="center" vertical="center"/>
    </xf>
    <xf numFmtId="164" fontId="8" fillId="4" borderId="67" xfId="47" applyNumberFormat="1" applyFont="1" applyFill="1" applyBorder="1" applyAlignment="1">
      <alignment horizontal="center" vertical="center"/>
    </xf>
    <xf numFmtId="0" fontId="8" fillId="4" borderId="68" xfId="47" applyFont="1" applyFill="1" applyBorder="1" applyAlignment="1">
      <alignment horizontal="left" vertical="center"/>
    </xf>
    <xf numFmtId="3" fontId="11" fillId="5" borderId="44" xfId="47" applyNumberFormat="1" applyFill="1" applyBorder="1" applyAlignment="1">
      <alignment horizontal="left" vertical="center"/>
    </xf>
    <xf numFmtId="0" fontId="44" fillId="4" borderId="0" xfId="133" applyFill="1" applyBorder="1" applyAlignment="1">
      <alignment horizontal="left" vertical="center" wrapText="1"/>
    </xf>
    <xf numFmtId="0" fontId="11" fillId="0" borderId="10" xfId="37" applyFont="1" applyBorder="1" applyAlignment="1">
      <alignment horizontal="left" vertical="center"/>
    </xf>
    <xf numFmtId="0" fontId="11" fillId="4" borderId="71" xfId="47" applyFill="1" applyBorder="1" applyAlignment="1">
      <alignment horizontal="left" vertical="center"/>
    </xf>
    <xf numFmtId="3" fontId="11" fillId="4" borderId="71" xfId="47" applyNumberFormat="1" applyFill="1" applyBorder="1" applyAlignment="1">
      <alignment horizontal="left" vertical="center"/>
    </xf>
    <xf numFmtId="0" fontId="0" fillId="4" borderId="55" xfId="0" applyFill="1" applyBorder="1"/>
    <xf numFmtId="3" fontId="10" fillId="16" borderId="62" xfId="23" applyNumberFormat="1" applyFont="1" applyFill="1" applyBorder="1" applyAlignment="1">
      <alignment horizontal="center" vertical="center"/>
    </xf>
    <xf numFmtId="165" fontId="10" fillId="6" borderId="10" xfId="23" applyNumberFormat="1" applyFont="1" applyFill="1" applyBorder="1" applyAlignment="1">
      <alignment horizontal="center" vertical="center"/>
    </xf>
    <xf numFmtId="165" fontId="10" fillId="6" borderId="54" xfId="23" applyNumberFormat="1" applyFont="1" applyFill="1" applyBorder="1" applyAlignment="1">
      <alignment horizontal="center" vertical="center"/>
    </xf>
    <xf numFmtId="165" fontId="10" fillId="16" borderId="10" xfId="23" applyNumberFormat="1" applyFont="1" applyFill="1" applyBorder="1" applyAlignment="1">
      <alignment horizontal="center" vertical="center"/>
    </xf>
    <xf numFmtId="165" fontId="10" fillId="16" borderId="26" xfId="23" applyNumberFormat="1" applyFont="1" applyFill="1" applyBorder="1" applyAlignment="1">
      <alignment horizontal="center" vertical="center"/>
    </xf>
    <xf numFmtId="164" fontId="10" fillId="3" borderId="45" xfId="23" applyNumberFormat="1" applyFont="1" applyFill="1" applyBorder="1" applyAlignment="1">
      <alignment horizontal="center" vertical="center"/>
    </xf>
    <xf numFmtId="17" fontId="8" fillId="6" borderId="48" xfId="23" applyNumberFormat="1" applyFont="1" applyFill="1" applyBorder="1" applyAlignment="1">
      <alignment horizontal="center" vertical="center" wrapText="1"/>
    </xf>
    <xf numFmtId="17" fontId="8" fillId="6" borderId="34" xfId="23" applyNumberFormat="1" applyFont="1" applyFill="1" applyBorder="1" applyAlignment="1">
      <alignment horizontal="center" vertical="center" wrapText="1"/>
    </xf>
    <xf numFmtId="0" fontId="0" fillId="0" borderId="25" xfId="0" applyBorder="1" applyAlignment="1">
      <alignment horizontal="center" vertical="center"/>
    </xf>
    <xf numFmtId="0" fontId="11" fillId="4" borderId="13" xfId="47" applyFill="1" applyBorder="1" applyAlignment="1">
      <alignment horizontal="left" vertical="center"/>
    </xf>
    <xf numFmtId="0" fontId="44" fillId="0" borderId="0" xfId="133" applyAlignment="1">
      <alignment horizontal="center" vertical="center" wrapText="1"/>
    </xf>
    <xf numFmtId="0" fontId="0" fillId="4" borderId="0" xfId="0" applyFill="1" applyAlignment="1">
      <alignment vertical="center"/>
    </xf>
    <xf numFmtId="164" fontId="49" fillId="4" borderId="10" xfId="0" applyNumberFormat="1" applyFont="1" applyFill="1" applyBorder="1" applyAlignment="1">
      <alignment horizontal="center" vertical="center"/>
    </xf>
    <xf numFmtId="0" fontId="8" fillId="4" borderId="10" xfId="47" applyFont="1" applyFill="1" applyBorder="1" applyAlignment="1">
      <alignment horizontal="left" vertical="center"/>
    </xf>
    <xf numFmtId="0" fontId="51" fillId="4" borderId="6" xfId="0" applyFont="1" applyFill="1" applyBorder="1" applyAlignment="1">
      <alignment vertical="center"/>
    </xf>
    <xf numFmtId="0" fontId="0" fillId="4" borderId="12" xfId="0" applyFill="1" applyBorder="1" applyAlignment="1">
      <alignment vertical="center"/>
    </xf>
    <xf numFmtId="0" fontId="52" fillId="0" borderId="49" xfId="0" applyFont="1" applyBorder="1" applyAlignment="1">
      <alignment vertical="center"/>
    </xf>
    <xf numFmtId="0" fontId="52" fillId="0" borderId="36" xfId="0" applyFont="1" applyBorder="1" applyAlignment="1">
      <alignment vertical="center"/>
    </xf>
    <xf numFmtId="0" fontId="52" fillId="0" borderId="60" xfId="0" applyFont="1" applyBorder="1" applyAlignment="1">
      <alignment vertical="center"/>
    </xf>
    <xf numFmtId="164" fontId="49" fillId="4" borderId="52" xfId="0" applyNumberFormat="1" applyFont="1" applyFill="1" applyBorder="1" applyAlignment="1">
      <alignment horizontal="center" vertical="center"/>
    </xf>
    <xf numFmtId="164" fontId="49" fillId="4" borderId="39" xfId="0" applyNumberFormat="1" applyFont="1" applyFill="1" applyBorder="1" applyAlignment="1">
      <alignment horizontal="center" vertical="center"/>
    </xf>
    <xf numFmtId="164" fontId="49" fillId="4" borderId="58" xfId="0" applyNumberFormat="1" applyFont="1" applyFill="1" applyBorder="1" applyAlignment="1">
      <alignment horizontal="center" vertical="center"/>
    </xf>
    <xf numFmtId="0" fontId="50" fillId="18" borderId="10" xfId="0" applyFont="1" applyFill="1" applyBorder="1" applyAlignment="1">
      <alignment horizontal="center" vertical="center"/>
    </xf>
    <xf numFmtId="0" fontId="53" fillId="6" borderId="81" xfId="0" applyFont="1" applyFill="1" applyBorder="1" applyAlignment="1">
      <alignment vertical="center"/>
    </xf>
    <xf numFmtId="164" fontId="53" fillId="6" borderId="81" xfId="0" applyNumberFormat="1" applyFont="1" applyFill="1" applyBorder="1" applyAlignment="1">
      <alignment horizontal="center" vertical="center"/>
    </xf>
    <xf numFmtId="0" fontId="53" fillId="4" borderId="8" xfId="0" applyFont="1" applyFill="1" applyBorder="1" applyAlignment="1">
      <alignment vertical="center"/>
    </xf>
    <xf numFmtId="43" fontId="45" fillId="0" borderId="0" xfId="0" applyNumberFormat="1" applyFont="1" applyAlignment="1">
      <alignment vertical="center"/>
    </xf>
    <xf numFmtId="3" fontId="10" fillId="16" borderId="24" xfId="23" applyNumberFormat="1" applyFont="1" applyFill="1" applyBorder="1" applyAlignment="1">
      <alignment vertical="center"/>
    </xf>
    <xf numFmtId="3" fontId="10" fillId="16" borderId="2" xfId="23" applyNumberFormat="1" applyFont="1" applyFill="1" applyBorder="1" applyAlignment="1">
      <alignment vertical="center"/>
    </xf>
    <xf numFmtId="164" fontId="10" fillId="3" borderId="43" xfId="23" applyNumberFormat="1" applyFont="1" applyFill="1" applyBorder="1" applyAlignment="1">
      <alignment horizontal="center" vertical="center"/>
    </xf>
    <xf numFmtId="0" fontId="10" fillId="6" borderId="11" xfId="23" applyFont="1" applyFill="1" applyBorder="1" applyAlignment="1">
      <alignment horizontal="left" vertical="center"/>
    </xf>
    <xf numFmtId="0" fontId="52" fillId="4" borderId="0" xfId="0" applyFont="1" applyFill="1" applyAlignment="1">
      <alignment vertical="center"/>
    </xf>
    <xf numFmtId="171" fontId="11" fillId="4" borderId="0" xfId="0" applyNumberFormat="1" applyFont="1" applyFill="1" applyAlignment="1">
      <alignment horizontal="left"/>
    </xf>
    <xf numFmtId="0" fontId="11" fillId="0" borderId="10" xfId="1" applyBorder="1" applyAlignment="1">
      <alignment horizontal="center"/>
    </xf>
    <xf numFmtId="0" fontId="11" fillId="18" borderId="10" xfId="1" applyFill="1" applyBorder="1" applyAlignment="1">
      <alignment horizontal="center"/>
    </xf>
    <xf numFmtId="0" fontId="0" fillId="0" borderId="23" xfId="0" applyBorder="1" applyAlignment="1">
      <alignment horizontal="center" vertical="center"/>
    </xf>
    <xf numFmtId="0" fontId="0" fillId="0" borderId="10" xfId="0" applyBorder="1"/>
    <xf numFmtId="0" fontId="0" fillId="0" borderId="25" xfId="0" applyBorder="1"/>
    <xf numFmtId="0" fontId="54" fillId="4" borderId="0" xfId="47" applyFont="1" applyFill="1" applyAlignment="1">
      <alignment horizontal="left" vertical="center"/>
    </xf>
    <xf numFmtId="164" fontId="54" fillId="4" borderId="0" xfId="47" applyNumberFormat="1" applyFont="1" applyFill="1" applyAlignment="1">
      <alignment horizontal="left" vertical="center"/>
    </xf>
    <xf numFmtId="0" fontId="54" fillId="4" borderId="0" xfId="0" applyFont="1" applyFill="1"/>
    <xf numFmtId="3" fontId="11" fillId="4" borderId="55" xfId="47" applyNumberFormat="1" applyFill="1" applyBorder="1" applyAlignment="1">
      <alignment horizontal="left" vertical="center"/>
    </xf>
    <xf numFmtId="0" fontId="10" fillId="4" borderId="55" xfId="23" applyFont="1" applyFill="1" applyBorder="1" applyAlignment="1">
      <alignment horizontal="left" vertical="center"/>
    </xf>
    <xf numFmtId="3" fontId="10" fillId="4" borderId="55" xfId="23" applyNumberFormat="1" applyFont="1" applyFill="1" applyBorder="1" applyAlignment="1">
      <alignment horizontal="left" vertical="center"/>
    </xf>
    <xf numFmtId="165" fontId="10" fillId="6" borderId="63" xfId="23" applyNumberFormat="1" applyFont="1" applyFill="1" applyBorder="1" applyAlignment="1">
      <alignment horizontal="center" vertical="center"/>
    </xf>
    <xf numFmtId="3" fontId="10" fillId="0" borderId="63" xfId="23" applyNumberFormat="1" applyFont="1" applyBorder="1" applyAlignment="1">
      <alignment horizontal="center" vertical="center"/>
    </xf>
    <xf numFmtId="165" fontId="10" fillId="16" borderId="63" xfId="23" applyNumberFormat="1" applyFont="1" applyFill="1" applyBorder="1" applyAlignment="1">
      <alignment horizontal="center" vertical="center"/>
    </xf>
    <xf numFmtId="0" fontId="9" fillId="6" borderId="63" xfId="47" applyFont="1" applyFill="1" applyBorder="1" applyAlignment="1">
      <alignment horizontal="left" vertical="center" wrapText="1"/>
    </xf>
    <xf numFmtId="0" fontId="9" fillId="0" borderId="63" xfId="47" applyFont="1" applyBorder="1" applyAlignment="1">
      <alignment horizontal="center" vertical="center" wrapText="1"/>
    </xf>
    <xf numFmtId="3" fontId="9" fillId="0" borderId="72" xfId="47" applyNumberFormat="1" applyFont="1" applyBorder="1" applyAlignment="1">
      <alignment horizontal="center" vertical="center" wrapText="1"/>
    </xf>
    <xf numFmtId="3" fontId="9" fillId="6" borderId="83" xfId="47" applyNumberFormat="1" applyFont="1" applyFill="1" applyBorder="1" applyAlignment="1">
      <alignment horizontal="center" vertical="center" wrapText="1"/>
    </xf>
    <xf numFmtId="0" fontId="10" fillId="0" borderId="64" xfId="47" applyFont="1" applyBorder="1" applyAlignment="1">
      <alignment horizontal="left" vertical="center"/>
    </xf>
    <xf numFmtId="164" fontId="10" fillId="0" borderId="64" xfId="47" applyNumberFormat="1" applyFont="1" applyBorder="1" applyAlignment="1">
      <alignment horizontal="center" vertical="center"/>
    </xf>
    <xf numFmtId="0" fontId="28" fillId="6" borderId="64" xfId="47" applyFont="1" applyFill="1" applyBorder="1" applyAlignment="1">
      <alignment horizontal="left" vertical="center"/>
    </xf>
    <xf numFmtId="165" fontId="28" fillId="6" borderId="64" xfId="47" applyNumberFormat="1" applyFont="1" applyFill="1" applyBorder="1" applyAlignment="1">
      <alignment horizontal="left" vertical="center"/>
    </xf>
    <xf numFmtId="165" fontId="8" fillId="6" borderId="64" xfId="47" applyNumberFormat="1" applyFont="1" applyFill="1" applyBorder="1" applyAlignment="1">
      <alignment horizontal="left" vertical="center"/>
    </xf>
    <xf numFmtId="164" fontId="8" fillId="0" borderId="55" xfId="47" applyNumberFormat="1" applyFont="1" applyBorder="1" applyAlignment="1">
      <alignment horizontal="center" vertical="center"/>
    </xf>
    <xf numFmtId="165" fontId="9" fillId="0" borderId="63" xfId="47" applyNumberFormat="1" applyFont="1" applyBorder="1" applyAlignment="1">
      <alignment horizontal="center" vertical="center" wrapText="1"/>
    </xf>
    <xf numFmtId="3" fontId="9" fillId="4" borderId="83" xfId="47" applyNumberFormat="1" applyFont="1" applyFill="1" applyBorder="1" applyAlignment="1">
      <alignment horizontal="center" vertical="center" wrapText="1"/>
    </xf>
    <xf numFmtId="0" fontId="8" fillId="6" borderId="63" xfId="47" applyFont="1" applyFill="1" applyBorder="1" applyAlignment="1">
      <alignment horizontal="left" vertical="center" wrapText="1"/>
    </xf>
    <xf numFmtId="165" fontId="9" fillId="6" borderId="72" xfId="47" applyNumberFormat="1" applyFont="1" applyFill="1" applyBorder="1" applyAlignment="1">
      <alignment horizontal="center" vertical="center"/>
    </xf>
    <xf numFmtId="165" fontId="9" fillId="4" borderId="55" xfId="47" applyNumberFormat="1" applyFont="1" applyFill="1" applyBorder="1" applyAlignment="1">
      <alignment horizontal="left" vertical="center"/>
    </xf>
    <xf numFmtId="3" fontId="16" fillId="6" borderId="73" xfId="1" applyNumberFormat="1" applyFont="1" applyFill="1" applyBorder="1" applyAlignment="1" applyProtection="1">
      <alignment horizontal="center" vertical="center"/>
      <protection locked="0"/>
    </xf>
    <xf numFmtId="3" fontId="16" fillId="6" borderId="63" xfId="1" applyNumberFormat="1" applyFont="1" applyFill="1" applyBorder="1" applyAlignment="1" applyProtection="1">
      <alignment horizontal="center" vertical="center"/>
      <protection locked="0"/>
    </xf>
    <xf numFmtId="168" fontId="32" fillId="9" borderId="84" xfId="0" applyNumberFormat="1" applyFont="1" applyFill="1" applyBorder="1" applyAlignment="1">
      <alignment horizontal="left" vertical="center"/>
    </xf>
    <xf numFmtId="0" fontId="54" fillId="4" borderId="0" xfId="47" applyFont="1" applyFill="1" applyAlignment="1">
      <alignment horizontal="left" vertical="center" wrapText="1"/>
    </xf>
    <xf numFmtId="3" fontId="54" fillId="4" borderId="0" xfId="47" applyNumberFormat="1" applyFont="1" applyFill="1" applyAlignment="1">
      <alignment horizontal="left" vertical="center"/>
    </xf>
    <xf numFmtId="0" fontId="54" fillId="0" borderId="0" xfId="0" applyFont="1"/>
    <xf numFmtId="0" fontId="54" fillId="4" borderId="0" xfId="47" applyFont="1" applyFill="1" applyAlignment="1">
      <alignment horizontal="center" vertical="center"/>
    </xf>
    <xf numFmtId="0" fontId="54" fillId="4" borderId="0" xfId="47" applyFont="1" applyFill="1" applyAlignment="1">
      <alignment horizontal="center" vertical="center" wrapText="1"/>
    </xf>
    <xf numFmtId="3" fontId="54" fillId="4" borderId="0" xfId="47" applyNumberFormat="1" applyFont="1" applyFill="1" applyAlignment="1">
      <alignment horizontal="center" vertical="center"/>
    </xf>
    <xf numFmtId="164" fontId="54" fillId="4" borderId="0" xfId="47" applyNumberFormat="1" applyFont="1" applyFill="1" applyAlignment="1">
      <alignment horizontal="center" vertical="center"/>
    </xf>
    <xf numFmtId="0" fontId="54" fillId="4" borderId="0" xfId="0" applyFont="1" applyFill="1" applyAlignment="1">
      <alignment horizontal="center"/>
    </xf>
    <xf numFmtId="0" fontId="54" fillId="0" borderId="0" xfId="0" applyFont="1" applyAlignment="1">
      <alignment horizontal="center"/>
    </xf>
    <xf numFmtId="0" fontId="8" fillId="4" borderId="3" xfId="47" applyFont="1" applyFill="1" applyBorder="1" applyAlignment="1">
      <alignment vertical="center"/>
    </xf>
    <xf numFmtId="0" fontId="8" fillId="4" borderId="1" xfId="47" applyFont="1" applyFill="1" applyBorder="1" applyAlignment="1">
      <alignment vertical="center"/>
    </xf>
    <xf numFmtId="0" fontId="10" fillId="0" borderId="16" xfId="47" applyFont="1" applyBorder="1" applyAlignment="1">
      <alignment horizontal="center" vertical="center"/>
    </xf>
    <xf numFmtId="0" fontId="56" fillId="0" borderId="0" xfId="0" applyFont="1"/>
    <xf numFmtId="0" fontId="37" fillId="0" borderId="11" xfId="0" applyFont="1" applyBorder="1" applyAlignment="1">
      <alignment horizontal="center"/>
    </xf>
    <xf numFmtId="0" fontId="37" fillId="0" borderId="5" xfId="0" applyFont="1" applyBorder="1" applyAlignment="1">
      <alignment horizontal="center"/>
    </xf>
    <xf numFmtId="0" fontId="37" fillId="0" borderId="0" xfId="0" applyFont="1" applyAlignment="1">
      <alignment horizontal="center"/>
    </xf>
    <xf numFmtId="0" fontId="37" fillId="0" borderId="6" xfId="0" applyFont="1" applyBorder="1"/>
    <xf numFmtId="0" fontId="37" fillId="0" borderId="7" xfId="0" applyFont="1" applyBorder="1"/>
    <xf numFmtId="0" fontId="37" fillId="0" borderId="7" xfId="0" applyFont="1" applyBorder="1" applyAlignment="1">
      <alignment wrapText="1"/>
    </xf>
    <xf numFmtId="0" fontId="37" fillId="0" borderId="1" xfId="0" applyFont="1" applyBorder="1" applyAlignment="1">
      <alignment wrapText="1"/>
    </xf>
    <xf numFmtId="0" fontId="37" fillId="0" borderId="24" xfId="0" applyFont="1" applyBorder="1" applyAlignment="1">
      <alignment wrapText="1"/>
    </xf>
    <xf numFmtId="0" fontId="37" fillId="0" borderId="2" xfId="0" applyFont="1" applyBorder="1" applyAlignment="1">
      <alignment wrapText="1"/>
    </xf>
    <xf numFmtId="0" fontId="37" fillId="0" borderId="8" xfId="0" applyFont="1" applyBorder="1" applyAlignment="1">
      <alignment wrapText="1"/>
    </xf>
    <xf numFmtId="0" fontId="37" fillId="0" borderId="85" xfId="0" applyFont="1" applyBorder="1" applyAlignment="1">
      <alignment wrapText="1"/>
    </xf>
    <xf numFmtId="0" fontId="37" fillId="0" borderId="86" xfId="0" applyFont="1" applyBorder="1" applyAlignment="1">
      <alignment wrapText="1"/>
    </xf>
    <xf numFmtId="0" fontId="37" fillId="0" borderId="12" xfId="0" applyFont="1" applyBorder="1" applyAlignment="1">
      <alignment wrapText="1"/>
    </xf>
    <xf numFmtId="0" fontId="37" fillId="0" borderId="11" xfId="0" applyFont="1" applyBorder="1" applyAlignment="1">
      <alignment wrapText="1"/>
    </xf>
    <xf numFmtId="0" fontId="37" fillId="0" borderId="87" xfId="0" applyFont="1" applyBorder="1" applyAlignment="1">
      <alignment wrapText="1"/>
    </xf>
    <xf numFmtId="0" fontId="37" fillId="0" borderId="88" xfId="0" applyFont="1" applyBorder="1"/>
    <xf numFmtId="0" fontId="37" fillId="0" borderId="89" xfId="0" applyFont="1" applyBorder="1"/>
    <xf numFmtId="167" fontId="37" fillId="12" borderId="90" xfId="48" applyNumberFormat="1" applyFont="1" applyFill="1" applyBorder="1"/>
    <xf numFmtId="167" fontId="37" fillId="12" borderId="91" xfId="48" applyNumberFormat="1" applyFont="1" applyFill="1" applyBorder="1"/>
    <xf numFmtId="167" fontId="37" fillId="20" borderId="91" xfId="48" applyNumberFormat="1" applyFont="1" applyFill="1" applyBorder="1"/>
    <xf numFmtId="167" fontId="37" fillId="20" borderId="92" xfId="48" applyNumberFormat="1" applyFont="1" applyFill="1" applyBorder="1"/>
    <xf numFmtId="167" fontId="37" fillId="12" borderId="92" xfId="48" applyNumberFormat="1" applyFont="1" applyFill="1" applyBorder="1"/>
    <xf numFmtId="167" fontId="37" fillId="12" borderId="93" xfId="48" applyNumberFormat="1" applyFont="1" applyFill="1" applyBorder="1"/>
    <xf numFmtId="0" fontId="37" fillId="0" borderId="91" xfId="0" applyFont="1" applyBorder="1"/>
    <xf numFmtId="0" fontId="0" fillId="0" borderId="94" xfId="0" applyBorder="1"/>
    <xf numFmtId="0" fontId="0" fillId="0" borderId="0" xfId="0" quotePrefix="1"/>
    <xf numFmtId="167" fontId="0" fillId="12" borderId="3" xfId="48" applyNumberFormat="1" applyFont="1" applyFill="1" applyBorder="1"/>
    <xf numFmtId="167" fontId="0" fillId="12" borderId="0" xfId="48" applyNumberFormat="1" applyFont="1" applyFill="1" applyBorder="1"/>
    <xf numFmtId="167" fontId="0" fillId="20" borderId="0" xfId="48" applyNumberFormat="1" applyFont="1" applyFill="1" applyBorder="1"/>
    <xf numFmtId="167" fontId="0" fillId="20" borderId="55" xfId="48" applyNumberFormat="1" applyFont="1" applyFill="1" applyBorder="1"/>
    <xf numFmtId="167" fontId="0" fillId="12" borderId="55" xfId="48" applyNumberFormat="1" applyFont="1" applyFill="1" applyBorder="1"/>
    <xf numFmtId="167" fontId="0" fillId="12" borderId="13" xfId="48" applyNumberFormat="1" applyFont="1" applyFill="1" applyBorder="1"/>
    <xf numFmtId="0" fontId="0" fillId="0" borderId="3" xfId="0" applyBorder="1"/>
    <xf numFmtId="167" fontId="37" fillId="12" borderId="88" xfId="48" applyNumberFormat="1" applyFont="1" applyFill="1" applyBorder="1"/>
    <xf numFmtId="167" fontId="37" fillId="12" borderId="89" xfId="48" applyNumberFormat="1" applyFont="1" applyFill="1" applyBorder="1"/>
    <xf numFmtId="167" fontId="37" fillId="20" borderId="89" xfId="48" applyNumberFormat="1" applyFont="1" applyFill="1" applyBorder="1"/>
    <xf numFmtId="167" fontId="37" fillId="20" borderId="95" xfId="48" applyNumberFormat="1" applyFont="1" applyFill="1" applyBorder="1"/>
    <xf numFmtId="167" fontId="37" fillId="12" borderId="95" xfId="48" applyNumberFormat="1" applyFont="1" applyFill="1" applyBorder="1"/>
    <xf numFmtId="167" fontId="37" fillId="12" borderId="96" xfId="48" applyNumberFormat="1" applyFont="1" applyFill="1" applyBorder="1"/>
    <xf numFmtId="167" fontId="37" fillId="12" borderId="97" xfId="48" applyNumberFormat="1" applyFont="1" applyFill="1" applyBorder="1"/>
    <xf numFmtId="167" fontId="37" fillId="12" borderId="98" xfId="48" applyNumberFormat="1" applyFont="1" applyFill="1" applyBorder="1"/>
    <xf numFmtId="167" fontId="37" fillId="20" borderId="98" xfId="48" applyNumberFormat="1" applyFont="1" applyFill="1" applyBorder="1"/>
    <xf numFmtId="167" fontId="37" fillId="20" borderId="99" xfId="48" applyNumberFormat="1" applyFont="1" applyFill="1" applyBorder="1"/>
    <xf numFmtId="167" fontId="37" fillId="12" borderId="99" xfId="48" applyNumberFormat="1" applyFont="1" applyFill="1" applyBorder="1"/>
    <xf numFmtId="167" fontId="37" fillId="12" borderId="100" xfId="48" applyNumberFormat="1" applyFont="1" applyFill="1" applyBorder="1"/>
    <xf numFmtId="0" fontId="0" fillId="0" borderId="11" xfId="0" applyBorder="1"/>
    <xf numFmtId="0" fontId="37" fillId="0" borderId="0" xfId="0" applyFont="1" applyAlignment="1">
      <alignment wrapText="1"/>
    </xf>
    <xf numFmtId="0" fontId="37" fillId="0" borderId="0" xfId="0" applyFont="1"/>
    <xf numFmtId="0" fontId="57" fillId="0" borderId="101" xfId="0" applyFont="1" applyBorder="1" applyAlignment="1">
      <alignment vertical="top" wrapText="1" readingOrder="1"/>
    </xf>
    <xf numFmtId="0" fontId="57" fillId="0" borderId="102" xfId="0" applyFont="1" applyBorder="1" applyAlignment="1">
      <alignment vertical="top" wrapText="1" readingOrder="1"/>
    </xf>
    <xf numFmtId="0" fontId="57" fillId="0" borderId="0" xfId="0" applyFont="1" applyAlignment="1">
      <alignment vertical="top" wrapText="1" readingOrder="1"/>
    </xf>
    <xf numFmtId="167" fontId="0" fillId="0" borderId="0" xfId="48" applyNumberFormat="1" applyFont="1" applyFill="1"/>
    <xf numFmtId="167" fontId="0" fillId="0" borderId="0" xfId="0" applyNumberFormat="1"/>
    <xf numFmtId="43" fontId="0" fillId="0" borderId="0" xfId="48" applyFont="1"/>
    <xf numFmtId="43" fontId="37" fillId="0" borderId="2" xfId="48" applyFont="1" applyFill="1" applyBorder="1"/>
    <xf numFmtId="43" fontId="0" fillId="0" borderId="0" xfId="48" applyFont="1" applyFill="1" applyBorder="1"/>
    <xf numFmtId="43" fontId="37" fillId="0" borderId="4" xfId="48" applyFont="1" applyFill="1" applyBorder="1" applyAlignment="1">
      <alignment wrapText="1"/>
    </xf>
    <xf numFmtId="43" fontId="37" fillId="0" borderId="5" xfId="48" applyFont="1" applyFill="1" applyBorder="1"/>
    <xf numFmtId="43" fontId="37" fillId="0" borderId="0" xfId="48" applyFont="1" applyFill="1" applyBorder="1" applyAlignment="1">
      <alignment horizontal="right"/>
    </xf>
    <xf numFmtId="43" fontId="37" fillId="0" borderId="0" xfId="48" applyFont="1" applyFill="1" applyBorder="1"/>
    <xf numFmtId="0" fontId="37" fillId="0" borderId="40" xfId="0" applyFont="1" applyBorder="1" applyAlignment="1">
      <alignment wrapText="1"/>
    </xf>
    <xf numFmtId="0" fontId="58" fillId="0" borderId="102" xfId="0" applyFont="1" applyBorder="1" applyAlignment="1">
      <alignment vertical="top" wrapText="1" readingOrder="1"/>
    </xf>
    <xf numFmtId="43" fontId="0" fillId="0" borderId="24" xfId="48" applyFont="1" applyBorder="1"/>
    <xf numFmtId="43" fontId="0" fillId="0" borderId="24" xfId="48" applyFont="1" applyBorder="1" applyAlignment="1">
      <alignment wrapText="1"/>
    </xf>
    <xf numFmtId="0" fontId="0" fillId="0" borderId="24" xfId="0" applyBorder="1"/>
    <xf numFmtId="43" fontId="37" fillId="0" borderId="2" xfId="48" applyFont="1" applyBorder="1"/>
    <xf numFmtId="43" fontId="0" fillId="0" borderId="11" xfId="48" applyFont="1" applyFill="1" applyBorder="1"/>
    <xf numFmtId="43" fontId="37" fillId="0" borderId="5" xfId="48" applyFont="1" applyBorder="1"/>
    <xf numFmtId="0" fontId="37" fillId="0" borderId="0" xfId="0" applyFont="1" applyAlignment="1">
      <alignment horizontal="right"/>
    </xf>
    <xf numFmtId="0" fontId="45" fillId="0" borderId="0" xfId="0" applyFont="1" applyAlignment="1">
      <alignment vertical="top"/>
    </xf>
    <xf numFmtId="43" fontId="1" fillId="0" borderId="24" xfId="48" applyFont="1" applyFill="1" applyBorder="1"/>
    <xf numFmtId="43" fontId="37" fillId="0" borderId="24" xfId="48" applyFont="1" applyFill="1" applyBorder="1"/>
    <xf numFmtId="43" fontId="0" fillId="0" borderId="0" xfId="0" applyNumberFormat="1"/>
    <xf numFmtId="1" fontId="0" fillId="0" borderId="0" xfId="0" applyNumberFormat="1"/>
    <xf numFmtId="0" fontId="48" fillId="0" borderId="0" xfId="0" applyFont="1"/>
    <xf numFmtId="165" fontId="48" fillId="0" borderId="0" xfId="48" applyNumberFormat="1" applyFont="1"/>
    <xf numFmtId="165" fontId="0" fillId="13" borderId="8" xfId="48" applyNumberFormat="1" applyFont="1" applyFill="1" applyBorder="1"/>
    <xf numFmtId="165" fontId="0" fillId="0" borderId="0" xfId="48" applyNumberFormat="1" applyFont="1"/>
    <xf numFmtId="165" fontId="0" fillId="0" borderId="0" xfId="0" applyNumberFormat="1"/>
    <xf numFmtId="10" fontId="0" fillId="0" borderId="0" xfId="49" applyNumberFormat="1" applyFont="1"/>
    <xf numFmtId="164" fontId="37" fillId="0" borderId="1" xfId="0" applyNumberFormat="1" applyFont="1" applyBorder="1" applyAlignment="1">
      <alignment wrapText="1"/>
    </xf>
    <xf numFmtId="164" fontId="37" fillId="0" borderId="24" xfId="0" applyNumberFormat="1" applyFont="1" applyBorder="1" applyAlignment="1">
      <alignment wrapText="1"/>
    </xf>
    <xf numFmtId="164" fontId="37" fillId="17" borderId="24" xfId="0" applyNumberFormat="1" applyFont="1" applyFill="1" applyBorder="1" applyAlignment="1">
      <alignment wrapText="1"/>
    </xf>
    <xf numFmtId="164" fontId="37" fillId="0" borderId="2" xfId="0" applyNumberFormat="1" applyFont="1" applyBorder="1" applyAlignment="1">
      <alignment wrapText="1"/>
    </xf>
    <xf numFmtId="164" fontId="37" fillId="0" borderId="3" xfId="48" applyNumberFormat="1" applyFont="1" applyBorder="1"/>
    <xf numFmtId="164" fontId="37" fillId="0" borderId="0" xfId="48" applyNumberFormat="1" applyFont="1" applyBorder="1"/>
    <xf numFmtId="164" fontId="37" fillId="17" borderId="0" xfId="48" applyNumberFormat="1" applyFont="1" applyFill="1" applyBorder="1"/>
    <xf numFmtId="164" fontId="37" fillId="0" borderId="55" xfId="48" applyNumberFormat="1" applyFont="1" applyBorder="1"/>
    <xf numFmtId="164" fontId="0" fillId="0" borderId="3" xfId="48" applyNumberFormat="1" applyFont="1" applyBorder="1"/>
    <xf numFmtId="164" fontId="0" fillId="0" borderId="0" xfId="48" applyNumberFormat="1" applyFont="1" applyBorder="1"/>
    <xf numFmtId="164" fontId="0" fillId="17" borderId="0" xfId="48" applyNumberFormat="1" applyFont="1" applyFill="1" applyBorder="1"/>
    <xf numFmtId="164" fontId="0" fillId="0" borderId="55" xfId="48" applyNumberFormat="1" applyFont="1" applyBorder="1"/>
    <xf numFmtId="3" fontId="0" fillId="0" borderId="0" xfId="0" applyNumberFormat="1"/>
    <xf numFmtId="0" fontId="59" fillId="0" borderId="0" xfId="0" applyFont="1" applyAlignment="1">
      <alignment horizontal="center" wrapText="1"/>
    </xf>
    <xf numFmtId="0" fontId="0" fillId="17" borderId="16" xfId="0" applyFill="1" applyBorder="1"/>
    <xf numFmtId="0" fontId="0" fillId="21" borderId="0" xfId="0" applyFill="1"/>
    <xf numFmtId="0" fontId="60" fillId="0" borderId="6" xfId="0" applyFont="1" applyBorder="1"/>
    <xf numFmtId="0" fontId="60" fillId="0" borderId="7" xfId="0" applyFont="1" applyBorder="1"/>
    <xf numFmtId="0" fontId="60" fillId="0" borderId="12" xfId="0" applyFont="1" applyBorder="1"/>
    <xf numFmtId="0" fontId="0" fillId="15" borderId="16" xfId="0" applyFill="1" applyBorder="1"/>
    <xf numFmtId="0" fontId="0" fillId="0" borderId="1" xfId="0" applyBorder="1"/>
    <xf numFmtId="0" fontId="0" fillId="0" borderId="24" xfId="0" applyBorder="1" applyAlignment="1">
      <alignment wrapText="1"/>
    </xf>
    <xf numFmtId="0" fontId="0" fillId="0" borderId="2" xfId="0" applyBorder="1"/>
    <xf numFmtId="0" fontId="0" fillId="0" borderId="55" xfId="0" applyBorder="1"/>
    <xf numFmtId="0" fontId="37" fillId="0" borderId="10" xfId="0" applyFont="1" applyBorder="1"/>
    <xf numFmtId="0" fontId="37" fillId="0" borderId="16" xfId="0" applyFont="1" applyBorder="1"/>
    <xf numFmtId="0" fontId="37" fillId="0" borderId="32" xfId="0" applyFont="1" applyBorder="1" applyAlignment="1">
      <alignment horizontal="center" wrapText="1"/>
    </xf>
    <xf numFmtId="0" fontId="37" fillId="0" borderId="63" xfId="0" applyFont="1" applyBorder="1"/>
    <xf numFmtId="0" fontId="37" fillId="0" borderId="10" xfId="0" applyFont="1" applyBorder="1" applyAlignment="1">
      <alignment wrapText="1"/>
    </xf>
    <xf numFmtId="0" fontId="37" fillId="0" borderId="10" xfId="0" applyFont="1" applyBorder="1" applyAlignment="1">
      <alignment horizontal="center" wrapText="1"/>
    </xf>
    <xf numFmtId="0" fontId="37" fillId="0" borderId="28" xfId="0" applyFont="1" applyBorder="1"/>
    <xf numFmtId="0" fontId="37" fillId="21" borderId="64" xfId="0" applyFont="1" applyFill="1" applyBorder="1"/>
    <xf numFmtId="0" fontId="37" fillId="0" borderId="57" xfId="0" applyFont="1" applyBorder="1" applyAlignment="1">
      <alignment wrapText="1"/>
    </xf>
    <xf numFmtId="0" fontId="37" fillId="0" borderId="9" xfId="0" applyFont="1" applyBorder="1" applyAlignment="1">
      <alignment wrapText="1"/>
    </xf>
    <xf numFmtId="0" fontId="37" fillId="0" borderId="9" xfId="0" applyFont="1" applyBorder="1"/>
    <xf numFmtId="0" fontId="37" fillId="0" borderId="82" xfId="0" applyFont="1" applyBorder="1"/>
    <xf numFmtId="0" fontId="37" fillId="0" borderId="103" xfId="0" applyFont="1" applyBorder="1"/>
    <xf numFmtId="0" fontId="37" fillId="0" borderId="25" xfId="0" applyFont="1" applyBorder="1"/>
    <xf numFmtId="0" fontId="0" fillId="0" borderId="16" xfId="0" applyBorder="1"/>
    <xf numFmtId="0" fontId="0" fillId="0" borderId="32" xfId="0" applyBorder="1"/>
    <xf numFmtId="0" fontId="0" fillId="0" borderId="10" xfId="0" applyBorder="1" applyAlignment="1">
      <alignment wrapText="1"/>
    </xf>
    <xf numFmtId="0" fontId="0" fillId="0" borderId="28" xfId="0" applyBorder="1"/>
    <xf numFmtId="0" fontId="0" fillId="21" borderId="64" xfId="0" applyFill="1" applyBorder="1"/>
    <xf numFmtId="6" fontId="0" fillId="0" borderId="32" xfId="0" applyNumberFormat="1" applyBorder="1"/>
    <xf numFmtId="6" fontId="0" fillId="0" borderId="10" xfId="0" applyNumberFormat="1" applyBorder="1"/>
    <xf numFmtId="0" fontId="0" fillId="15" borderId="10" xfId="0" applyFill="1" applyBorder="1"/>
    <xf numFmtId="0" fontId="0" fillId="15" borderId="36" xfId="0" applyFill="1" applyBorder="1"/>
    <xf numFmtId="43" fontId="0" fillId="15" borderId="10" xfId="48" applyFont="1" applyFill="1" applyBorder="1"/>
    <xf numFmtId="43" fontId="0" fillId="22" borderId="10" xfId="48" applyFont="1" applyFill="1" applyBorder="1"/>
    <xf numFmtId="43" fontId="0" fillId="15" borderId="10" xfId="48" applyFont="1" applyFill="1" applyBorder="1" applyAlignment="1">
      <alignment wrapText="1"/>
    </xf>
    <xf numFmtId="43" fontId="0" fillId="15" borderId="28" xfId="48" applyFont="1" applyFill="1" applyBorder="1"/>
    <xf numFmtId="43" fontId="0" fillId="21" borderId="64" xfId="48" applyFont="1" applyFill="1" applyBorder="1"/>
    <xf numFmtId="165" fontId="0" fillId="15" borderId="32" xfId="48" applyNumberFormat="1" applyFont="1" applyFill="1" applyBorder="1"/>
    <xf numFmtId="165" fontId="0" fillId="15" borderId="10" xfId="48" applyNumberFormat="1" applyFont="1" applyFill="1" applyBorder="1"/>
    <xf numFmtId="165" fontId="0" fillId="22" borderId="10" xfId="0" applyNumberFormat="1" applyFill="1" applyBorder="1"/>
    <xf numFmtId="165" fontId="0" fillId="15" borderId="10" xfId="0" applyNumberFormat="1" applyFill="1" applyBorder="1"/>
    <xf numFmtId="165" fontId="0" fillId="15" borderId="28" xfId="0" applyNumberFormat="1" applyFill="1" applyBorder="1"/>
    <xf numFmtId="165" fontId="0" fillId="15" borderId="16" xfId="0" applyNumberFormat="1" applyFill="1" applyBorder="1"/>
    <xf numFmtId="0" fontId="0" fillId="15" borderId="25" xfId="0" applyFill="1" applyBorder="1"/>
    <xf numFmtId="43" fontId="0" fillId="22" borderId="10" xfId="0" applyNumberFormat="1" applyFill="1" applyBorder="1"/>
    <xf numFmtId="0" fontId="0" fillId="17" borderId="10" xfId="0" applyFill="1" applyBorder="1"/>
    <xf numFmtId="0" fontId="0" fillId="17" borderId="32" xfId="0" applyFill="1" applyBorder="1"/>
    <xf numFmtId="43" fontId="0" fillId="17" borderId="10" xfId="48" applyFont="1" applyFill="1" applyBorder="1"/>
    <xf numFmtId="43" fontId="0" fillId="17" borderId="10" xfId="48" applyFont="1" applyFill="1" applyBorder="1" applyAlignment="1">
      <alignment wrapText="1"/>
    </xf>
    <xf numFmtId="43" fontId="0" fillId="17" borderId="28" xfId="48" applyFont="1" applyFill="1" applyBorder="1"/>
    <xf numFmtId="165" fontId="0" fillId="17" borderId="32" xfId="48" applyNumberFormat="1" applyFont="1" applyFill="1" applyBorder="1"/>
    <xf numFmtId="165" fontId="0" fillId="17" borderId="10" xfId="48" applyNumberFormat="1" applyFont="1" applyFill="1" applyBorder="1"/>
    <xf numFmtId="165" fontId="0" fillId="17" borderId="10" xfId="0" applyNumberFormat="1" applyFill="1" applyBorder="1"/>
    <xf numFmtId="165" fontId="0" fillId="17" borderId="28" xfId="0" applyNumberFormat="1" applyFill="1" applyBorder="1"/>
    <xf numFmtId="165" fontId="0" fillId="17" borderId="16" xfId="0" applyNumberFormat="1" applyFill="1" applyBorder="1"/>
    <xf numFmtId="0" fontId="0" fillId="17" borderId="25" xfId="0" applyFill="1" applyBorder="1"/>
    <xf numFmtId="43" fontId="0" fillId="0" borderId="26" xfId="48" applyFont="1" applyBorder="1"/>
    <xf numFmtId="43" fontId="0" fillId="22" borderId="26" xfId="48" applyFont="1" applyFill="1" applyBorder="1"/>
    <xf numFmtId="43" fontId="0" fillId="0" borderId="26" xfId="48" applyFont="1" applyBorder="1" applyAlignment="1">
      <alignment wrapText="1"/>
    </xf>
    <xf numFmtId="43" fontId="0" fillId="0" borderId="31" xfId="48" applyFont="1" applyBorder="1"/>
    <xf numFmtId="43" fontId="0" fillId="21" borderId="70" xfId="48" applyFont="1" applyFill="1" applyBorder="1"/>
    <xf numFmtId="165" fontId="0" fillId="0" borderId="27" xfId="48" applyNumberFormat="1" applyFont="1" applyBorder="1"/>
    <xf numFmtId="165" fontId="0" fillId="0" borderId="26" xfId="48" applyNumberFormat="1" applyFont="1" applyBorder="1"/>
    <xf numFmtId="165" fontId="0" fillId="22" borderId="26" xfId="0" applyNumberFormat="1" applyFill="1" applyBorder="1"/>
    <xf numFmtId="165" fontId="0" fillId="0" borderId="26" xfId="0" applyNumberFormat="1" applyBorder="1"/>
    <xf numFmtId="165" fontId="0" fillId="0" borderId="31" xfId="0" applyNumberFormat="1" applyBorder="1"/>
    <xf numFmtId="165" fontId="0" fillId="0" borderId="21" xfId="0" applyNumberFormat="1" applyBorder="1"/>
    <xf numFmtId="165" fontId="0" fillId="11" borderId="32" xfId="48" applyNumberFormat="1" applyFont="1" applyFill="1" applyBorder="1"/>
    <xf numFmtId="0" fontId="0" fillId="14" borderId="0" xfId="0" applyFill="1"/>
    <xf numFmtId="165" fontId="0" fillId="22" borderId="32" xfId="48" applyNumberFormat="1" applyFont="1" applyFill="1" applyBorder="1"/>
    <xf numFmtId="165" fontId="0" fillId="22" borderId="10" xfId="48" applyNumberFormat="1" applyFont="1" applyFill="1" applyBorder="1"/>
    <xf numFmtId="43" fontId="0" fillId="17" borderId="10" xfId="0" applyNumberFormat="1" applyFill="1" applyBorder="1"/>
    <xf numFmtId="43" fontId="16" fillId="17" borderId="10" xfId="48" applyFont="1" applyFill="1" applyBorder="1"/>
    <xf numFmtId="0" fontId="0" fillId="15" borderId="56" xfId="0" applyFill="1" applyBorder="1"/>
    <xf numFmtId="43" fontId="0" fillId="15" borderId="54" xfId="48" applyFont="1" applyFill="1" applyBorder="1"/>
    <xf numFmtId="43" fontId="0" fillId="15" borderId="54" xfId="48" applyFont="1" applyFill="1" applyBorder="1" applyAlignment="1">
      <alignment wrapText="1"/>
    </xf>
    <xf numFmtId="43" fontId="0" fillId="15" borderId="77" xfId="48" applyFont="1" applyFill="1" applyBorder="1"/>
    <xf numFmtId="165" fontId="0" fillId="22" borderId="56" xfId="48" applyNumberFormat="1" applyFont="1" applyFill="1" applyBorder="1"/>
    <xf numFmtId="165" fontId="0" fillId="22" borderId="54" xfId="48" applyNumberFormat="1" applyFont="1" applyFill="1" applyBorder="1"/>
    <xf numFmtId="165" fontId="0" fillId="15" borderId="54" xfId="48" applyNumberFormat="1" applyFont="1" applyFill="1" applyBorder="1"/>
    <xf numFmtId="165" fontId="0" fillId="15" borderId="54" xfId="0" applyNumberFormat="1" applyFill="1" applyBorder="1"/>
    <xf numFmtId="165" fontId="0" fillId="15" borderId="77" xfId="0" applyNumberFormat="1" applyFill="1" applyBorder="1"/>
    <xf numFmtId="165" fontId="0" fillId="15" borderId="104" xfId="0" applyNumberFormat="1" applyFill="1" applyBorder="1"/>
    <xf numFmtId="43" fontId="0" fillId="15" borderId="10" xfId="0" applyNumberFormat="1" applyFill="1" applyBorder="1"/>
    <xf numFmtId="0" fontId="0" fillId="0" borderId="0" xfId="0" applyAlignment="1">
      <alignment wrapText="1"/>
    </xf>
    <xf numFmtId="0" fontId="61" fillId="0" borderId="0" xfId="0" applyFont="1"/>
    <xf numFmtId="0" fontId="60" fillId="0" borderId="33" xfId="0" applyFont="1" applyBorder="1"/>
    <xf numFmtId="43" fontId="60" fillId="0" borderId="48" xfId="0" applyNumberFormat="1" applyFont="1" applyBorder="1"/>
    <xf numFmtId="43" fontId="60" fillId="0" borderId="48" xfId="0" applyNumberFormat="1" applyFont="1" applyBorder="1" applyAlignment="1">
      <alignment wrapText="1"/>
    </xf>
    <xf numFmtId="43" fontId="60" fillId="21" borderId="48" xfId="0" applyNumberFormat="1" applyFont="1" applyFill="1" applyBorder="1"/>
    <xf numFmtId="165" fontId="60" fillId="0" borderId="48" xfId="0" applyNumberFormat="1" applyFont="1" applyBorder="1"/>
    <xf numFmtId="165" fontId="60" fillId="0" borderId="46" xfId="0" applyNumberFormat="1" applyFont="1" applyBorder="1"/>
    <xf numFmtId="165" fontId="60" fillId="0" borderId="34" xfId="0" applyNumberFormat="1" applyFont="1" applyBorder="1"/>
    <xf numFmtId="43" fontId="60" fillId="0" borderId="0" xfId="0" applyNumberFormat="1" applyFont="1"/>
    <xf numFmtId="165" fontId="45" fillId="0" borderId="0" xfId="0" applyNumberFormat="1" applyFont="1" applyAlignment="1">
      <alignment vertical="center"/>
    </xf>
    <xf numFmtId="43" fontId="45" fillId="0" borderId="0" xfId="48" applyFont="1" applyBorder="1"/>
    <xf numFmtId="0" fontId="37" fillId="0" borderId="15" xfId="0" applyFont="1" applyBorder="1"/>
    <xf numFmtId="3" fontId="10" fillId="10" borderId="63" xfId="23" applyNumberFormat="1" applyFont="1" applyFill="1" applyBorder="1" applyAlignment="1">
      <alignment horizontal="center" vertical="center"/>
    </xf>
    <xf numFmtId="164" fontId="10" fillId="10" borderId="39" xfId="23" applyNumberFormat="1" applyFont="1" applyFill="1" applyBorder="1" applyAlignment="1">
      <alignment horizontal="center" vertical="center"/>
    </xf>
    <xf numFmtId="164" fontId="10" fillId="10" borderId="45" xfId="23" applyNumberFormat="1" applyFont="1" applyFill="1" applyBorder="1" applyAlignment="1">
      <alignment horizontal="center" vertical="center"/>
    </xf>
    <xf numFmtId="164" fontId="10" fillId="10" borderId="58" xfId="23" applyNumberFormat="1" applyFont="1" applyFill="1" applyBorder="1" applyAlignment="1">
      <alignment horizontal="center" vertical="center"/>
    </xf>
    <xf numFmtId="0" fontId="7" fillId="0" borderId="6" xfId="0" applyFont="1" applyBorder="1"/>
    <xf numFmtId="43" fontId="7" fillId="0" borderId="7" xfId="0" applyNumberFormat="1" applyFont="1" applyBorder="1"/>
    <xf numFmtId="43" fontId="0" fillId="0" borderId="32" xfId="0" applyNumberFormat="1" applyBorder="1"/>
    <xf numFmtId="43" fontId="0" fillId="0" borderId="28" xfId="0" applyNumberFormat="1" applyBorder="1"/>
    <xf numFmtId="43" fontId="0" fillId="0" borderId="56" xfId="0" applyNumberFormat="1" applyBorder="1"/>
    <xf numFmtId="43" fontId="0" fillId="0" borderId="77" xfId="0" applyNumberFormat="1" applyBorder="1"/>
    <xf numFmtId="0" fontId="0" fillId="0" borderId="72" xfId="0" applyBorder="1"/>
    <xf numFmtId="43" fontId="0" fillId="0" borderId="30" xfId="0" applyNumberFormat="1" applyBorder="1"/>
    <xf numFmtId="43" fontId="0" fillId="0" borderId="47" xfId="0" applyNumberFormat="1" applyBorder="1"/>
    <xf numFmtId="1" fontId="16" fillId="23" borderId="10" xfId="0" applyNumberFormat="1" applyFont="1" applyFill="1" applyBorder="1" applyAlignment="1">
      <alignment horizontal="left"/>
    </xf>
    <xf numFmtId="0" fontId="16" fillId="23" borderId="10" xfId="0" applyFont="1" applyFill="1" applyBorder="1" applyAlignment="1">
      <alignment horizontal="left"/>
    </xf>
    <xf numFmtId="4" fontId="16" fillId="23" borderId="10" xfId="2" applyNumberFormat="1" applyFont="1" applyFill="1" applyBorder="1" applyAlignment="1" applyProtection="1">
      <alignment horizontal="right"/>
    </xf>
    <xf numFmtId="165" fontId="16" fillId="23" borderId="10" xfId="2" applyNumberFormat="1" applyFont="1" applyFill="1" applyBorder="1" applyAlignment="1" applyProtection="1">
      <alignment horizontal="right"/>
    </xf>
    <xf numFmtId="165" fontId="16" fillId="23" borderId="10" xfId="0" applyNumberFormat="1" applyFont="1" applyFill="1" applyBorder="1" applyAlignment="1">
      <alignment horizontal="right"/>
    </xf>
    <xf numFmtId="10" fontId="16" fillId="23" borderId="10" xfId="2" applyNumberFormat="1" applyFont="1" applyFill="1" applyBorder="1" applyAlignment="1" applyProtection="1">
      <alignment horizontal="right"/>
    </xf>
    <xf numFmtId="0" fontId="16" fillId="4" borderId="0" xfId="0" applyFont="1" applyFill="1"/>
    <xf numFmtId="3" fontId="62" fillId="24" borderId="10" xfId="0" applyNumberFormat="1" applyFont="1" applyFill="1" applyBorder="1" applyAlignment="1">
      <alignment horizontal="right" wrapText="1"/>
    </xf>
    <xf numFmtId="164" fontId="62" fillId="24" borderId="10" xfId="0" applyNumberFormat="1" applyFont="1" applyFill="1" applyBorder="1" applyAlignment="1">
      <alignment horizontal="right" wrapText="1"/>
    </xf>
    <xf numFmtId="164" fontId="62" fillId="10" borderId="10" xfId="0" applyNumberFormat="1" applyFont="1" applyFill="1" applyBorder="1" applyAlignment="1">
      <alignment horizontal="right" wrapText="1"/>
    </xf>
    <xf numFmtId="0" fontId="11" fillId="0" borderId="0" xfId="0" applyFont="1"/>
    <xf numFmtId="0" fontId="62" fillId="24" borderId="16" xfId="0" applyFont="1" applyFill="1" applyBorder="1" applyAlignment="1">
      <alignment wrapText="1"/>
    </xf>
    <xf numFmtId="0" fontId="62" fillId="24" borderId="64" xfId="0" applyFont="1" applyFill="1" applyBorder="1" applyAlignment="1">
      <alignment wrapText="1"/>
    </xf>
    <xf numFmtId="1" fontId="16" fillId="19" borderId="10" xfId="0" applyNumberFormat="1" applyFont="1" applyFill="1" applyBorder="1" applyAlignment="1">
      <alignment horizontal="center" vertical="center" wrapText="1"/>
    </xf>
    <xf numFmtId="172" fontId="62" fillId="24" borderId="10" xfId="53" applyNumberFormat="1" applyFont="1" applyFill="1" applyBorder="1" applyAlignment="1" applyProtection="1">
      <alignment horizontal="right" vertical="center" wrapText="1"/>
    </xf>
    <xf numFmtId="4" fontId="16" fillId="23" borderId="10" xfId="0" applyNumberFormat="1" applyFont="1" applyFill="1" applyBorder="1" applyAlignment="1">
      <alignment horizontal="right"/>
    </xf>
    <xf numFmtId="1" fontId="16" fillId="19" borderId="25" xfId="0" applyNumberFormat="1" applyFont="1" applyFill="1" applyBorder="1" applyAlignment="1">
      <alignment horizontal="center" vertical="center" wrapText="1"/>
    </xf>
    <xf numFmtId="0" fontId="16" fillId="19" borderId="10" xfId="0" applyFont="1" applyFill="1" applyBorder="1" applyAlignment="1">
      <alignment horizontal="center" vertical="center" wrapText="1"/>
    </xf>
    <xf numFmtId="2" fontId="16" fillId="19" borderId="10" xfId="0" applyNumberFormat="1" applyFont="1" applyFill="1" applyBorder="1" applyAlignment="1">
      <alignment horizontal="center" vertical="center" wrapText="1"/>
    </xf>
    <xf numFmtId="1" fontId="16" fillId="7" borderId="10" xfId="0" applyNumberFormat="1" applyFont="1" applyFill="1" applyBorder="1" applyAlignment="1">
      <alignment horizontal="center" vertical="center" wrapText="1"/>
    </xf>
    <xf numFmtId="2" fontId="16" fillId="7" borderId="10" xfId="0" applyNumberFormat="1" applyFont="1" applyFill="1" applyBorder="1" applyAlignment="1">
      <alignment horizontal="center" vertical="center" wrapText="1"/>
    </xf>
    <xf numFmtId="1" fontId="62" fillId="10" borderId="64" xfId="0" applyNumberFormat="1" applyFont="1" applyFill="1" applyBorder="1" applyAlignment="1">
      <alignment vertical="center" wrapText="1"/>
    </xf>
    <xf numFmtId="1" fontId="62" fillId="10" borderId="25" xfId="0" applyNumberFormat="1" applyFont="1" applyFill="1" applyBorder="1" applyAlignment="1">
      <alignment vertical="center" wrapText="1"/>
    </xf>
    <xf numFmtId="173" fontId="62" fillId="10" borderId="10" xfId="53" applyNumberFormat="1" applyFont="1" applyFill="1" applyBorder="1" applyAlignment="1" applyProtection="1">
      <alignment horizontal="right" vertical="center" wrapText="1"/>
    </xf>
    <xf numFmtId="167" fontId="37" fillId="10" borderId="10" xfId="0" applyNumberFormat="1" applyFont="1" applyFill="1" applyBorder="1" applyAlignment="1">
      <alignment horizontal="right" vertical="center" wrapText="1"/>
    </xf>
    <xf numFmtId="167" fontId="13" fillId="10" borderId="10" xfId="0" applyNumberFormat="1" applyFont="1" applyFill="1" applyBorder="1" applyAlignment="1">
      <alignment horizontal="center" vertical="center" wrapText="1"/>
    </xf>
    <xf numFmtId="1" fontId="16" fillId="23" borderId="25" xfId="0" applyNumberFormat="1" applyFont="1" applyFill="1" applyBorder="1" applyAlignment="1">
      <alignment horizontal="left"/>
    </xf>
    <xf numFmtId="0" fontId="16" fillId="23" borderId="25" xfId="0" applyFont="1" applyFill="1" applyBorder="1" applyAlignment="1">
      <alignment horizontal="left"/>
    </xf>
    <xf numFmtId="4" fontId="16" fillId="23" borderId="10" xfId="0" applyNumberFormat="1" applyFont="1" applyFill="1" applyBorder="1" applyAlignment="1">
      <alignment horizontal="left"/>
    </xf>
    <xf numFmtId="174" fontId="16" fillId="23" borderId="10" xfId="0" applyNumberFormat="1" applyFont="1" applyFill="1" applyBorder="1" applyAlignment="1">
      <alignment horizontal="right"/>
    </xf>
    <xf numFmtId="4" fontId="16" fillId="23" borderId="10" xfId="0" applyNumberFormat="1" applyFont="1" applyFill="1" applyBorder="1" applyAlignment="1">
      <alignment horizontal="right" wrapText="1"/>
    </xf>
    <xf numFmtId="1" fontId="62" fillId="24" borderId="64" xfId="0" applyNumberFormat="1" applyFont="1" applyFill="1" applyBorder="1" applyAlignment="1">
      <alignment vertical="center" wrapText="1"/>
    </xf>
    <xf numFmtId="3" fontId="63" fillId="4" borderId="0" xfId="47" applyNumberFormat="1" applyFont="1" applyFill="1" applyAlignment="1">
      <alignment horizontal="center" vertical="center"/>
    </xf>
    <xf numFmtId="0" fontId="63" fillId="4" borderId="0" xfId="47" applyFont="1" applyFill="1" applyAlignment="1">
      <alignment horizontal="center" vertical="center"/>
    </xf>
    <xf numFmtId="165" fontId="64" fillId="4" borderId="0" xfId="47" applyNumberFormat="1" applyFont="1" applyFill="1" applyAlignment="1">
      <alignment horizontal="center" vertical="center"/>
    </xf>
    <xf numFmtId="0" fontId="63" fillId="4" borderId="0" xfId="47" applyFont="1" applyFill="1" applyAlignment="1">
      <alignment horizontal="center" vertical="center" wrapText="1"/>
    </xf>
    <xf numFmtId="0" fontId="64" fillId="4" borderId="0" xfId="47" applyFont="1" applyFill="1" applyAlignment="1">
      <alignment horizontal="center" vertical="center"/>
    </xf>
    <xf numFmtId="164" fontId="63" fillId="4" borderId="0" xfId="47" applyNumberFormat="1" applyFont="1" applyFill="1" applyAlignment="1">
      <alignment horizontal="center" vertical="center"/>
    </xf>
    <xf numFmtId="0" fontId="65" fillId="0" borderId="0" xfId="1" applyFont="1" applyAlignment="1">
      <alignment horizontal="left" vertical="center"/>
    </xf>
    <xf numFmtId="0" fontId="67" fillId="0" borderId="0" xfId="0" applyFont="1" applyAlignment="1">
      <alignment horizontal="center" vertical="center"/>
    </xf>
    <xf numFmtId="0" fontId="66" fillId="0" borderId="0" xfId="1" applyFont="1" applyAlignment="1">
      <alignment vertical="center"/>
    </xf>
    <xf numFmtId="164" fontId="68" fillId="0" borderId="0" xfId="56" applyNumberFormat="1" applyFont="1" applyFill="1" applyBorder="1" applyAlignment="1" applyProtection="1">
      <alignment horizontal="center" vertical="center"/>
    </xf>
    <xf numFmtId="164" fontId="67" fillId="0" borderId="0" xfId="0" applyNumberFormat="1" applyFont="1" applyAlignment="1">
      <alignment horizontal="center" vertical="center"/>
    </xf>
    <xf numFmtId="175" fontId="68" fillId="0" borderId="0" xfId="1" applyNumberFormat="1" applyFont="1" applyAlignment="1">
      <alignment horizontal="left" vertical="center"/>
    </xf>
    <xf numFmtId="164" fontId="68" fillId="0" borderId="0" xfId="1" applyNumberFormat="1" applyFont="1" applyAlignment="1">
      <alignment horizontal="center" vertical="center"/>
    </xf>
    <xf numFmtId="164" fontId="68" fillId="0" borderId="0" xfId="2" applyNumberFormat="1" applyFont="1" applyFill="1" applyBorder="1" applyAlignment="1" applyProtection="1">
      <alignment horizontal="center" vertical="center"/>
    </xf>
    <xf numFmtId="0" fontId="67" fillId="0" borderId="0" xfId="0" applyFont="1" applyAlignment="1">
      <alignment vertical="center"/>
    </xf>
    <xf numFmtId="0" fontId="66" fillId="0" borderId="0" xfId="1" applyFont="1" applyAlignment="1">
      <alignment horizontal="center" vertical="center"/>
    </xf>
    <xf numFmtId="0" fontId="68" fillId="0" borderId="0" xfId="1" applyFont="1" applyAlignment="1">
      <alignment horizontal="left" vertical="center"/>
    </xf>
    <xf numFmtId="0" fontId="66" fillId="0" borderId="0" xfId="1" applyFont="1" applyAlignment="1">
      <alignment horizontal="left" vertical="center"/>
    </xf>
    <xf numFmtId="164" fontId="66" fillId="0" borderId="0" xfId="1" applyNumberFormat="1" applyFont="1" applyAlignment="1">
      <alignment horizontal="center" vertical="center"/>
    </xf>
    <xf numFmtId="0" fontId="68" fillId="0" borderId="0" xfId="1" applyFont="1" applyAlignment="1">
      <alignment vertical="center"/>
    </xf>
    <xf numFmtId="164" fontId="0" fillId="0" borderId="0" xfId="0" applyNumberFormat="1"/>
    <xf numFmtId="0" fontId="0" fillId="17" borderId="15" xfId="0" applyFill="1" applyBorder="1"/>
    <xf numFmtId="0" fontId="11" fillId="0" borderId="0" xfId="1" applyAlignment="1">
      <alignment horizontal="left"/>
    </xf>
    <xf numFmtId="0" fontId="44" fillId="0" borderId="0" xfId="133" applyAlignment="1">
      <alignment horizontal="left" vertical="center" wrapText="1"/>
    </xf>
    <xf numFmtId="0" fontId="9" fillId="0" borderId="10" xfId="0" applyFont="1" applyBorder="1" applyAlignment="1">
      <alignment horizontal="center" vertical="center" wrapText="1"/>
    </xf>
    <xf numFmtId="176" fontId="13" fillId="0" borderId="10" xfId="0" applyNumberFormat="1" applyFont="1" applyBorder="1" applyAlignment="1">
      <alignment horizontal="left"/>
    </xf>
    <xf numFmtId="0" fontId="13" fillId="0" borderId="10" xfId="0" applyFont="1" applyBorder="1" applyAlignment="1">
      <alignment horizontal="left"/>
    </xf>
    <xf numFmtId="0" fontId="44" fillId="0" borderId="0" xfId="133"/>
    <xf numFmtId="0" fontId="10" fillId="3" borderId="29" xfId="23" applyFont="1" applyFill="1" applyBorder="1" applyAlignment="1">
      <alignment horizontal="left" vertical="center" wrapText="1"/>
    </xf>
    <xf numFmtId="165" fontId="10" fillId="0" borderId="14" xfId="1" applyNumberFormat="1" applyFont="1" applyBorder="1" applyAlignment="1">
      <alignment horizontal="center" vertical="center"/>
    </xf>
    <xf numFmtId="0" fontId="10" fillId="3" borderId="14" xfId="23" applyFont="1" applyFill="1" applyBorder="1" applyAlignment="1">
      <alignment horizontal="center" vertical="center"/>
    </xf>
    <xf numFmtId="3" fontId="10" fillId="0" borderId="26" xfId="23" applyNumberFormat="1" applyFont="1" applyBorder="1" applyAlignment="1">
      <alignment horizontal="center" vertical="center"/>
    </xf>
    <xf numFmtId="0" fontId="10" fillId="6" borderId="12" xfId="23" applyFont="1" applyFill="1" applyBorder="1" applyAlignment="1">
      <alignment horizontal="left" vertical="center"/>
    </xf>
    <xf numFmtId="0" fontId="0" fillId="6" borderId="16" xfId="0" applyFill="1" applyBorder="1"/>
    <xf numFmtId="43" fontId="0" fillId="6" borderId="56" xfId="0" applyNumberFormat="1" applyFill="1" applyBorder="1"/>
    <xf numFmtId="43" fontId="0" fillId="6" borderId="77" xfId="0" applyNumberFormat="1" applyFill="1" applyBorder="1"/>
    <xf numFmtId="177" fontId="0" fillId="0" borderId="73" xfId="0" applyNumberFormat="1" applyBorder="1"/>
    <xf numFmtId="177" fontId="0" fillId="0" borderId="63" xfId="0" applyNumberFormat="1" applyBorder="1"/>
    <xf numFmtId="177" fontId="0" fillId="0" borderId="63" xfId="48" applyNumberFormat="1" applyFont="1" applyBorder="1"/>
    <xf numFmtId="177" fontId="0" fillId="0" borderId="25" xfId="0" applyNumberFormat="1" applyBorder="1"/>
    <xf numFmtId="177" fontId="0" fillId="0" borderId="10" xfId="0" applyNumberFormat="1" applyBorder="1"/>
    <xf numFmtId="177" fontId="0" fillId="0" borderId="10" xfId="48" applyNumberFormat="1" applyFont="1" applyBorder="1"/>
    <xf numFmtId="177" fontId="0" fillId="6" borderId="25" xfId="0" applyNumberFormat="1" applyFill="1" applyBorder="1"/>
    <xf numFmtId="177" fontId="0" fillId="6" borderId="10" xfId="0" applyNumberFormat="1" applyFill="1" applyBorder="1"/>
    <xf numFmtId="177" fontId="0" fillId="6" borderId="10" xfId="48" applyNumberFormat="1" applyFont="1" applyFill="1" applyBorder="1"/>
    <xf numFmtId="177" fontId="0" fillId="6" borderId="73" xfId="0" applyNumberFormat="1" applyFill="1" applyBorder="1"/>
    <xf numFmtId="177" fontId="0" fillId="0" borderId="0" xfId="0" applyNumberFormat="1"/>
    <xf numFmtId="177" fontId="7" fillId="0" borderId="7" xfId="0" applyNumberFormat="1" applyFont="1" applyBorder="1"/>
    <xf numFmtId="177" fontId="7" fillId="0" borderId="12" xfId="0" applyNumberFormat="1" applyFont="1" applyBorder="1"/>
    <xf numFmtId="0" fontId="69" fillId="0" borderId="0" xfId="0" applyFont="1"/>
    <xf numFmtId="177" fontId="0" fillId="0" borderId="106" xfId="48" applyNumberFormat="1" applyFont="1" applyBorder="1"/>
    <xf numFmtId="177" fontId="0" fillId="6" borderId="106" xfId="48" applyNumberFormat="1" applyFont="1" applyFill="1" applyBorder="1"/>
    <xf numFmtId="0" fontId="0" fillId="6" borderId="10" xfId="0" applyFill="1" applyBorder="1"/>
    <xf numFmtId="43" fontId="0" fillId="0" borderId="10" xfId="0" applyNumberFormat="1" applyBorder="1"/>
    <xf numFmtId="0" fontId="7" fillId="0" borderId="0" xfId="0" applyFont="1"/>
    <xf numFmtId="0" fontId="7" fillId="0" borderId="21" xfId="0" applyFont="1" applyBorder="1"/>
    <xf numFmtId="0" fontId="7" fillId="0" borderId="22" xfId="0" applyFont="1" applyBorder="1"/>
    <xf numFmtId="0" fontId="7" fillId="0" borderId="26" xfId="0" applyFont="1" applyBorder="1"/>
    <xf numFmtId="0" fontId="7" fillId="0" borderId="33" xfId="0" applyFont="1" applyBorder="1" applyAlignment="1">
      <alignment wrapText="1"/>
    </xf>
    <xf numFmtId="0" fontId="7" fillId="0" borderId="46" xfId="0" applyFont="1" applyBorder="1" applyAlignment="1">
      <alignment wrapText="1"/>
    </xf>
    <xf numFmtId="0" fontId="7" fillId="0" borderId="35" xfId="0" applyFont="1" applyBorder="1" applyAlignment="1">
      <alignment wrapText="1"/>
    </xf>
    <xf numFmtId="0" fontId="7" fillId="0" borderId="48" xfId="0" applyFont="1" applyBorder="1" applyAlignment="1">
      <alignment wrapText="1"/>
    </xf>
    <xf numFmtId="0" fontId="7" fillId="0" borderId="7" xfId="0" applyFont="1" applyBorder="1" applyAlignment="1">
      <alignment wrapText="1"/>
    </xf>
    <xf numFmtId="0" fontId="0" fillId="0" borderId="33" xfId="0" applyBorder="1"/>
    <xf numFmtId="0" fontId="0" fillId="0" borderId="48" xfId="0" applyBorder="1"/>
    <xf numFmtId="43" fontId="0" fillId="0" borderId="48" xfId="0" applyNumberFormat="1" applyBorder="1"/>
    <xf numFmtId="177" fontId="0" fillId="0" borderId="48" xfId="0" applyNumberFormat="1" applyBorder="1"/>
    <xf numFmtId="177" fontId="0" fillId="0" borderId="46" xfId="0" applyNumberFormat="1" applyBorder="1"/>
    <xf numFmtId="177" fontId="0" fillId="0" borderId="106" xfId="0" applyNumberFormat="1" applyBorder="1"/>
    <xf numFmtId="43" fontId="0" fillId="0" borderId="63" xfId="0" applyNumberFormat="1" applyBorder="1"/>
    <xf numFmtId="0" fontId="8" fillId="4" borderId="0" xfId="47" applyFont="1" applyFill="1" applyAlignment="1">
      <alignment horizontal="left" vertical="center"/>
    </xf>
    <xf numFmtId="0" fontId="44" fillId="0" borderId="40" xfId="133" applyBorder="1" applyAlignment="1">
      <alignment horizontal="left" vertical="center" wrapText="1"/>
    </xf>
    <xf numFmtId="0" fontId="44" fillId="0" borderId="13" xfId="133" applyBorder="1" applyAlignment="1">
      <alignment horizontal="left" vertical="center" wrapText="1"/>
    </xf>
    <xf numFmtId="0" fontId="44" fillId="0" borderId="51" xfId="133" applyBorder="1" applyAlignment="1">
      <alignment horizontal="left" vertical="center" wrapText="1"/>
    </xf>
    <xf numFmtId="0" fontId="8" fillId="2" borderId="1" xfId="23" applyFont="1" applyFill="1" applyBorder="1" applyAlignment="1">
      <alignment horizontal="left" vertical="center" wrapText="1"/>
    </xf>
    <xf numFmtId="0" fontId="8" fillId="2" borderId="24" xfId="23" applyFont="1" applyFill="1" applyBorder="1" applyAlignment="1">
      <alignment horizontal="left" vertical="center" wrapText="1"/>
    </xf>
    <xf numFmtId="0" fontId="8" fillId="2" borderId="2" xfId="23" applyFont="1" applyFill="1" applyBorder="1" applyAlignment="1">
      <alignment horizontal="left" vertical="center" wrapText="1"/>
    </xf>
    <xf numFmtId="0" fontId="8" fillId="2" borderId="4" xfId="23" applyFont="1" applyFill="1" applyBorder="1" applyAlignment="1">
      <alignment horizontal="left" vertical="center" wrapText="1"/>
    </xf>
    <xf numFmtId="0" fontId="8" fillId="2" borderId="11" xfId="23" applyFont="1" applyFill="1" applyBorder="1" applyAlignment="1">
      <alignment horizontal="left" vertical="center" wrapText="1"/>
    </xf>
    <xf numFmtId="0" fontId="8" fillId="2" borderId="5" xfId="23" applyFont="1" applyFill="1" applyBorder="1" applyAlignment="1">
      <alignment horizontal="left" vertical="center" wrapText="1"/>
    </xf>
    <xf numFmtId="0" fontId="8" fillId="2" borderId="40" xfId="23" applyFont="1" applyFill="1" applyBorder="1" applyAlignment="1">
      <alignment horizontal="center" vertical="center" wrapText="1"/>
    </xf>
    <xf numFmtId="0" fontId="8" fillId="2" borderId="51" xfId="23" applyFont="1" applyFill="1" applyBorder="1" applyAlignment="1">
      <alignment horizontal="center" vertical="center" wrapText="1"/>
    </xf>
    <xf numFmtId="0" fontId="8" fillId="14" borderId="6" xfId="23" applyFont="1" applyFill="1" applyBorder="1" applyAlignment="1" applyProtection="1">
      <alignment horizontal="left" vertical="center"/>
      <protection locked="0"/>
    </xf>
    <xf numFmtId="0" fontId="8" fillId="14" borderId="7" xfId="23" applyFont="1" applyFill="1" applyBorder="1" applyAlignment="1" applyProtection="1">
      <alignment horizontal="left" vertical="center"/>
      <protection locked="0"/>
    </xf>
    <xf numFmtId="0" fontId="8" fillId="14" borderId="12" xfId="23" applyFont="1" applyFill="1" applyBorder="1" applyAlignment="1" applyProtection="1">
      <alignment horizontal="left" vertical="center"/>
      <protection locked="0"/>
    </xf>
    <xf numFmtId="0" fontId="8" fillId="6" borderId="33" xfId="23" applyFont="1" applyFill="1" applyBorder="1" applyAlignment="1">
      <alignment horizontal="left" vertical="center" wrapText="1"/>
    </xf>
    <xf numFmtId="0" fontId="8" fillId="6" borderId="48" xfId="23" applyFont="1" applyFill="1" applyBorder="1" applyAlignment="1">
      <alignment horizontal="left" vertical="center" wrapText="1"/>
    </xf>
    <xf numFmtId="0" fontId="10" fillId="0" borderId="76" xfId="23" applyFont="1" applyBorder="1" applyAlignment="1">
      <alignment horizontal="left" vertical="center"/>
    </xf>
    <xf numFmtId="0" fontId="10" fillId="0" borderId="73" xfId="23" applyFont="1" applyBorder="1" applyAlignment="1">
      <alignment horizontal="left" vertical="center"/>
    </xf>
    <xf numFmtId="0" fontId="10" fillId="0" borderId="36" xfId="23" applyFont="1" applyBorder="1" applyAlignment="1">
      <alignment horizontal="left" vertical="center"/>
    </xf>
    <xf numFmtId="0" fontId="10" fillId="0" borderId="25" xfId="23" applyFont="1" applyBorder="1" applyAlignment="1">
      <alignment horizontal="left" vertical="center"/>
    </xf>
    <xf numFmtId="0" fontId="10" fillId="0" borderId="60" xfId="23" applyFont="1" applyBorder="1" applyAlignment="1">
      <alignment horizontal="left" vertical="center"/>
    </xf>
    <xf numFmtId="0" fontId="10" fillId="0" borderId="59" xfId="23" applyFont="1" applyBorder="1" applyAlignment="1">
      <alignment horizontal="left" vertical="center"/>
    </xf>
    <xf numFmtId="0" fontId="8" fillId="0" borderId="6" xfId="47" quotePrefix="1" applyFont="1" applyBorder="1" applyAlignment="1">
      <alignment horizontal="left" vertical="center"/>
    </xf>
    <xf numFmtId="0" fontId="8" fillId="0" borderId="7" xfId="47" applyFont="1" applyBorder="1" applyAlignment="1">
      <alignment horizontal="left" vertical="center"/>
    </xf>
    <xf numFmtId="0" fontId="8" fillId="0" borderId="12" xfId="47" applyFont="1" applyBorder="1" applyAlignment="1">
      <alignment horizontal="left" vertical="center"/>
    </xf>
    <xf numFmtId="17" fontId="8" fillId="6" borderId="62" xfId="23" applyNumberFormat="1" applyFont="1" applyFill="1" applyBorder="1" applyAlignment="1">
      <alignment horizontal="center" vertical="center" wrapText="1"/>
    </xf>
    <xf numFmtId="17" fontId="8" fillId="6" borderId="24" xfId="23" applyNumberFormat="1" applyFont="1" applyFill="1" applyBorder="1" applyAlignment="1">
      <alignment horizontal="center" vertical="center" wrapText="1"/>
    </xf>
    <xf numFmtId="17" fontId="8" fillId="6" borderId="2" xfId="23" applyNumberFormat="1" applyFont="1" applyFill="1" applyBorder="1" applyAlignment="1">
      <alignment horizontal="center" vertical="center" wrapText="1"/>
    </xf>
    <xf numFmtId="0" fontId="10" fillId="0" borderId="49" xfId="23" applyFont="1" applyBorder="1" applyAlignment="1">
      <alignment horizontal="left" vertical="center"/>
    </xf>
    <xf numFmtId="0" fontId="10" fillId="0" borderId="75" xfId="23" applyFont="1" applyBorder="1" applyAlignment="1">
      <alignment horizontal="left" vertical="center"/>
    </xf>
    <xf numFmtId="3" fontId="10" fillId="16" borderId="62" xfId="23" applyNumberFormat="1" applyFont="1" applyFill="1" applyBorder="1" applyAlignment="1">
      <alignment horizontal="center" vertical="center"/>
    </xf>
    <xf numFmtId="3" fontId="10" fillId="16" borderId="24" xfId="23" applyNumberFormat="1" applyFont="1" applyFill="1" applyBorder="1" applyAlignment="1">
      <alignment horizontal="center" vertical="center"/>
    </xf>
    <xf numFmtId="3" fontId="10" fillId="16" borderId="2" xfId="23" applyNumberFormat="1" applyFont="1" applyFill="1" applyBorder="1" applyAlignment="1">
      <alignment horizontal="center" vertical="center"/>
    </xf>
    <xf numFmtId="3" fontId="10" fillId="16" borderId="15" xfId="23" applyNumberFormat="1" applyFont="1" applyFill="1" applyBorder="1" applyAlignment="1">
      <alignment horizontal="center" vertical="center"/>
    </xf>
    <xf numFmtId="3" fontId="10" fillId="16" borderId="0" xfId="23" applyNumberFormat="1" applyFont="1" applyFill="1" applyAlignment="1">
      <alignment horizontal="center" vertical="center"/>
    </xf>
    <xf numFmtId="3" fontId="10" fillId="16" borderId="55" xfId="23" applyNumberFormat="1" applyFont="1" applyFill="1" applyBorder="1" applyAlignment="1">
      <alignment horizontal="center" vertical="center"/>
    </xf>
    <xf numFmtId="3" fontId="10" fillId="16" borderId="74" xfId="23" applyNumberFormat="1" applyFont="1" applyFill="1" applyBorder="1" applyAlignment="1">
      <alignment horizontal="center" vertical="center"/>
    </xf>
    <xf numFmtId="3" fontId="10" fillId="16" borderId="11" xfId="23" applyNumberFormat="1" applyFont="1" applyFill="1" applyBorder="1" applyAlignment="1">
      <alignment horizontal="center" vertical="center"/>
    </xf>
    <xf numFmtId="3" fontId="10" fillId="16" borderId="5" xfId="23" applyNumberFormat="1" applyFont="1" applyFill="1" applyBorder="1" applyAlignment="1">
      <alignment horizontal="center" vertical="center"/>
    </xf>
    <xf numFmtId="0" fontId="8" fillId="6" borderId="6" xfId="23" applyFont="1" applyFill="1" applyBorder="1" applyAlignment="1">
      <alignment horizontal="left" vertical="center" wrapText="1"/>
    </xf>
    <xf numFmtId="0" fontId="8" fillId="6" borderId="35" xfId="23" applyFont="1" applyFill="1" applyBorder="1" applyAlignment="1">
      <alignment horizontal="left" vertical="center" wrapText="1"/>
    </xf>
    <xf numFmtId="0" fontId="8" fillId="2" borderId="3" xfId="23" applyFont="1" applyFill="1" applyBorder="1" applyAlignment="1">
      <alignment horizontal="left" vertical="center" wrapText="1"/>
    </xf>
    <xf numFmtId="0" fontId="8" fillId="2" borderId="0" xfId="23" applyFont="1" applyFill="1" applyAlignment="1">
      <alignment horizontal="left" vertical="center" wrapText="1"/>
    </xf>
    <xf numFmtId="0" fontId="8" fillId="2" borderId="55" xfId="23" applyFont="1" applyFill="1" applyBorder="1" applyAlignment="1">
      <alignment horizontal="left" vertical="center" wrapText="1"/>
    </xf>
    <xf numFmtId="0" fontId="8" fillId="18" borderId="78" xfId="23" applyFont="1" applyFill="1" applyBorder="1" applyAlignment="1" applyProtection="1">
      <alignment horizontal="left" vertical="center"/>
      <protection locked="0"/>
    </xf>
    <xf numFmtId="0" fontId="8" fillId="18" borderId="79" xfId="23" applyFont="1" applyFill="1" applyBorder="1" applyAlignment="1" applyProtection="1">
      <alignment horizontal="left" vertical="center"/>
      <protection locked="0"/>
    </xf>
    <xf numFmtId="0" fontId="8" fillId="18" borderId="80" xfId="23" applyFont="1" applyFill="1" applyBorder="1" applyAlignment="1" applyProtection="1">
      <alignment horizontal="left" vertical="center"/>
      <protection locked="0"/>
    </xf>
    <xf numFmtId="164" fontId="10" fillId="6" borderId="16" xfId="47" applyNumberFormat="1" applyFont="1" applyFill="1" applyBorder="1" applyAlignment="1">
      <alignment horizontal="center" vertical="center"/>
    </xf>
    <xf numFmtId="164" fontId="10" fillId="6" borderId="64" xfId="47" applyNumberFormat="1" applyFont="1" applyFill="1" applyBorder="1" applyAlignment="1">
      <alignment horizontal="center" vertical="center"/>
    </xf>
    <xf numFmtId="164" fontId="10" fillId="6" borderId="25" xfId="47" applyNumberFormat="1" applyFont="1" applyFill="1" applyBorder="1" applyAlignment="1">
      <alignment horizontal="center" vertical="center"/>
    </xf>
    <xf numFmtId="0" fontId="8" fillId="4" borderId="1" xfId="47" applyFont="1" applyFill="1" applyBorder="1" applyAlignment="1">
      <alignment horizontal="left" vertical="center"/>
    </xf>
    <xf numFmtId="0" fontId="8" fillId="4" borderId="24" xfId="47" applyFont="1" applyFill="1" applyBorder="1" applyAlignment="1">
      <alignment horizontal="left" vertical="center"/>
    </xf>
    <xf numFmtId="0" fontId="8" fillId="4" borderId="2" xfId="47" applyFont="1" applyFill="1" applyBorder="1" applyAlignment="1">
      <alignment horizontal="left" vertical="center"/>
    </xf>
    <xf numFmtId="0" fontId="8" fillId="6" borderId="6" xfId="47" applyFont="1" applyFill="1" applyBorder="1" applyAlignment="1">
      <alignment horizontal="center" vertical="center"/>
    </xf>
    <xf numFmtId="0" fontId="8" fillId="6" borderId="7" xfId="47" applyFont="1" applyFill="1" applyBorder="1" applyAlignment="1">
      <alignment horizontal="center" vertical="center"/>
    </xf>
    <xf numFmtId="0" fontId="8" fillId="6" borderId="12" xfId="47" applyFont="1" applyFill="1" applyBorder="1" applyAlignment="1">
      <alignment horizontal="center" vertical="center"/>
    </xf>
    <xf numFmtId="165" fontId="9" fillId="4" borderId="0" xfId="47" applyNumberFormat="1" applyFont="1" applyFill="1" applyAlignment="1">
      <alignment horizontal="left" vertical="center"/>
    </xf>
    <xf numFmtId="0" fontId="47" fillId="6" borderId="6" xfId="47" applyFont="1" applyFill="1" applyBorder="1" applyAlignment="1">
      <alignment horizontal="left" vertical="center" wrapText="1"/>
    </xf>
    <xf numFmtId="0" fontId="47" fillId="6" borderId="7" xfId="47" applyFont="1" applyFill="1" applyBorder="1" applyAlignment="1">
      <alignment horizontal="left" vertical="center" wrapText="1"/>
    </xf>
    <xf numFmtId="0" fontId="47" fillId="6" borderId="12" xfId="47" applyFont="1" applyFill="1" applyBorder="1" applyAlignment="1">
      <alignment horizontal="left" vertical="center" wrapText="1"/>
    </xf>
    <xf numFmtId="0" fontId="8" fillId="6" borderId="1" xfId="47" applyFont="1" applyFill="1" applyBorder="1" applyAlignment="1">
      <alignment horizontal="left" vertical="center"/>
    </xf>
    <xf numFmtId="0" fontId="8" fillId="6" borderId="24" xfId="47" applyFont="1" applyFill="1" applyBorder="1" applyAlignment="1">
      <alignment horizontal="left" vertical="center"/>
    </xf>
    <xf numFmtId="0" fontId="8" fillId="6" borderId="65" xfId="47" applyFont="1" applyFill="1" applyBorder="1" applyAlignment="1">
      <alignment horizontal="left" vertical="center"/>
    </xf>
    <xf numFmtId="165" fontId="9" fillId="6" borderId="26" xfId="47" applyNumberFormat="1" applyFont="1" applyFill="1" applyBorder="1" applyAlignment="1">
      <alignment horizontal="center" vertical="center"/>
    </xf>
    <xf numFmtId="0" fontId="8" fillId="6" borderId="2" xfId="47" applyFont="1" applyFill="1" applyBorder="1" applyAlignment="1">
      <alignment horizontal="left" vertical="center"/>
    </xf>
    <xf numFmtId="164" fontId="46" fillId="6" borderId="6" xfId="1" applyNumberFormat="1" applyFont="1" applyFill="1" applyBorder="1" applyAlignment="1">
      <alignment horizontal="center" vertical="center"/>
    </xf>
    <xf numFmtId="164" fontId="46" fillId="6" borderId="12" xfId="1" applyNumberFormat="1" applyFont="1" applyFill="1" applyBorder="1" applyAlignment="1">
      <alignment horizontal="center" vertical="center"/>
    </xf>
    <xf numFmtId="164" fontId="46" fillId="4" borderId="68" xfId="47" applyNumberFormat="1" applyFont="1" applyFill="1" applyBorder="1" applyAlignment="1">
      <alignment horizontal="center" vertical="center"/>
    </xf>
    <xf numFmtId="164" fontId="46" fillId="4" borderId="69" xfId="47" applyNumberFormat="1" applyFont="1" applyFill="1" applyBorder="1" applyAlignment="1">
      <alignment horizontal="center" vertical="center"/>
    </xf>
    <xf numFmtId="0" fontId="9" fillId="7" borderId="40" xfId="47" applyFont="1" applyFill="1" applyBorder="1" applyAlignment="1">
      <alignment horizontal="center" vertical="center"/>
    </xf>
    <xf numFmtId="0" fontId="9" fillId="7" borderId="51" xfId="47" applyFont="1" applyFill="1" applyBorder="1" applyAlignment="1">
      <alignment horizontal="center" vertical="center"/>
    </xf>
    <xf numFmtId="165" fontId="10" fillId="6" borderId="16" xfId="47" applyNumberFormat="1" applyFont="1" applyFill="1" applyBorder="1" applyAlignment="1">
      <alignment horizontal="center" vertical="center"/>
    </xf>
    <xf numFmtId="165" fontId="10" fillId="6" borderId="25" xfId="47" applyNumberFormat="1" applyFont="1" applyFill="1" applyBorder="1" applyAlignment="1">
      <alignment horizontal="center" vertical="center"/>
    </xf>
    <xf numFmtId="0" fontId="8" fillId="0" borderId="27" xfId="47" applyFont="1" applyBorder="1" applyAlignment="1">
      <alignment horizontal="left" vertical="center" wrapText="1"/>
    </xf>
    <xf numFmtId="0" fontId="8" fillId="0" borderId="30" xfId="47" applyFont="1" applyBorder="1" applyAlignment="1">
      <alignment horizontal="left" vertical="center" wrapText="1"/>
    </xf>
    <xf numFmtId="165" fontId="10" fillId="6" borderId="10" xfId="47" applyNumberFormat="1" applyFont="1" applyFill="1" applyBorder="1" applyAlignment="1">
      <alignment horizontal="center" vertical="center"/>
    </xf>
    <xf numFmtId="0" fontId="11" fillId="4" borderId="3" xfId="1" applyFill="1" applyBorder="1" applyAlignment="1">
      <alignment horizontal="left" vertical="center" wrapText="1"/>
    </xf>
    <xf numFmtId="0" fontId="11" fillId="4" borderId="0" xfId="1" applyFill="1" applyAlignment="1">
      <alignment horizontal="left" vertical="center" wrapText="1"/>
    </xf>
    <xf numFmtId="0" fontId="11" fillId="4" borderId="55" xfId="1" applyFill="1" applyBorder="1" applyAlignment="1">
      <alignment horizontal="left" vertical="center" wrapText="1"/>
    </xf>
    <xf numFmtId="0" fontId="8" fillId="0" borderId="27" xfId="47" applyFont="1" applyBorder="1" applyAlignment="1">
      <alignment horizontal="left" vertical="center"/>
    </xf>
    <xf numFmtId="0" fontId="8" fillId="0" borderId="29" xfId="47" applyFont="1" applyBorder="1" applyAlignment="1">
      <alignment horizontal="left" vertical="center"/>
    </xf>
    <xf numFmtId="0" fontId="8" fillId="0" borderId="30" xfId="47" applyFont="1" applyBorder="1" applyAlignment="1">
      <alignment horizontal="left" vertical="center"/>
    </xf>
    <xf numFmtId="165" fontId="9" fillId="6" borderId="14" xfId="47" applyNumberFormat="1" applyFont="1" applyFill="1" applyBorder="1" applyAlignment="1">
      <alignment horizontal="center" vertical="center"/>
    </xf>
    <xf numFmtId="165" fontId="9" fillId="6" borderId="72" xfId="47" applyNumberFormat="1" applyFont="1" applyFill="1" applyBorder="1" applyAlignment="1">
      <alignment horizontal="center" vertical="center"/>
    </xf>
    <xf numFmtId="165" fontId="9" fillId="6" borderId="73" xfId="47" applyNumberFormat="1" applyFont="1" applyFill="1" applyBorder="1" applyAlignment="1">
      <alignment horizontal="center" vertical="center"/>
    </xf>
    <xf numFmtId="0" fontId="8" fillId="6" borderId="6" xfId="23" applyFont="1" applyFill="1" applyBorder="1" applyAlignment="1">
      <alignment horizontal="left" vertical="center"/>
    </xf>
    <xf numFmtId="0" fontId="8" fillId="6" borderId="7" xfId="23" applyFont="1" applyFill="1" applyBorder="1" applyAlignment="1">
      <alignment horizontal="left" vertical="center"/>
    </xf>
    <xf numFmtId="0" fontId="8" fillId="6" borderId="12" xfId="23" applyFont="1" applyFill="1" applyBorder="1" applyAlignment="1">
      <alignment horizontal="left" vertical="center"/>
    </xf>
    <xf numFmtId="0" fontId="8" fillId="0" borderId="29" xfId="47" applyFont="1" applyBorder="1" applyAlignment="1">
      <alignment horizontal="left" vertical="center" wrapText="1"/>
    </xf>
    <xf numFmtId="0" fontId="10" fillId="0" borderId="6" xfId="47" quotePrefix="1" applyFont="1" applyBorder="1" applyAlignment="1">
      <alignment horizontal="left" vertical="center"/>
    </xf>
    <xf numFmtId="0" fontId="10" fillId="0" borderId="7" xfId="47" applyFont="1" applyBorder="1" applyAlignment="1">
      <alignment horizontal="left" vertical="center"/>
    </xf>
    <xf numFmtId="0" fontId="10" fillId="0" borderId="12" xfId="47" applyFont="1" applyBorder="1" applyAlignment="1">
      <alignment horizontal="left" vertical="center"/>
    </xf>
    <xf numFmtId="0" fontId="8" fillId="16" borderId="34" xfId="23" applyFont="1" applyFill="1" applyBorder="1" applyAlignment="1">
      <alignment horizontal="center" vertical="center" wrapText="1"/>
    </xf>
    <xf numFmtId="0" fontId="8" fillId="16" borderId="7" xfId="23" applyFont="1" applyFill="1" applyBorder="1" applyAlignment="1">
      <alignment horizontal="center" vertical="center" wrapText="1"/>
    </xf>
    <xf numFmtId="0" fontId="8" fillId="16" borderId="12" xfId="23" applyFont="1" applyFill="1" applyBorder="1" applyAlignment="1">
      <alignment horizontal="center" vertical="center" wrapText="1"/>
    </xf>
    <xf numFmtId="0" fontId="7" fillId="0" borderId="105" xfId="0" applyFont="1" applyBorder="1" applyAlignment="1">
      <alignment horizontal="center"/>
    </xf>
    <xf numFmtId="0" fontId="7" fillId="0" borderId="4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12" xfId="0" applyFont="1" applyBorder="1" applyAlignment="1">
      <alignment horizontal="center"/>
    </xf>
    <xf numFmtId="0" fontId="7" fillId="0" borderId="6" xfId="0" applyFont="1" applyBorder="1" applyAlignment="1">
      <alignment horizontal="center" wrapText="1"/>
    </xf>
    <xf numFmtId="0" fontId="7" fillId="0" borderId="12" xfId="0" applyFont="1" applyBorder="1" applyAlignment="1">
      <alignment horizontal="center" wrapText="1"/>
    </xf>
    <xf numFmtId="0" fontId="0" fillId="0" borderId="3" xfId="0" applyBorder="1" applyAlignment="1">
      <alignment horizontal="center"/>
    </xf>
    <xf numFmtId="0" fontId="0" fillId="0" borderId="55" xfId="0" applyBorder="1" applyAlignment="1">
      <alignment horizontal="center"/>
    </xf>
    <xf numFmtId="0" fontId="59" fillId="0" borderId="0" xfId="0" applyFont="1" applyAlignment="1">
      <alignment horizontal="center" wrapText="1"/>
    </xf>
    <xf numFmtId="0" fontId="60" fillId="0" borderId="6" xfId="0" applyFont="1" applyBorder="1" applyAlignment="1">
      <alignment horizontal="center"/>
    </xf>
    <xf numFmtId="0" fontId="60" fillId="0" borderId="7" xfId="0" applyFont="1" applyBorder="1" applyAlignment="1">
      <alignment horizontal="center"/>
    </xf>
    <xf numFmtId="0" fontId="60" fillId="0" borderId="12" xfId="0" applyFont="1" applyBorder="1" applyAlignment="1">
      <alignment horizontal="center"/>
    </xf>
    <xf numFmtId="0" fontId="37" fillId="0" borderId="6" xfId="0" applyFont="1" applyBorder="1" applyAlignment="1">
      <alignment horizontal="center"/>
    </xf>
    <xf numFmtId="0" fontId="37" fillId="0" borderId="7" xfId="0" applyFont="1" applyBorder="1" applyAlignment="1">
      <alignment horizontal="center"/>
    </xf>
    <xf numFmtId="0" fontId="37" fillId="0" borderId="12" xfId="0" applyFont="1" applyBorder="1" applyAlignment="1">
      <alignment horizontal="center"/>
    </xf>
    <xf numFmtId="0" fontId="0" fillId="0" borderId="0" xfId="0" applyAlignment="1">
      <alignment horizontal="center"/>
    </xf>
    <xf numFmtId="0" fontId="7" fillId="0" borderId="16" xfId="0" applyFont="1" applyBorder="1" applyAlignment="1">
      <alignment horizontal="center" vertical="center"/>
    </xf>
    <xf numFmtId="0" fontId="7" fillId="0" borderId="25"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37" fillId="0" borderId="1" xfId="0" applyFont="1" applyBorder="1" applyAlignment="1">
      <alignment horizontal="center"/>
    </xf>
    <xf numFmtId="0" fontId="37" fillId="0" borderId="24" xfId="0" applyFont="1" applyBorder="1" applyAlignment="1">
      <alignment horizontal="center"/>
    </xf>
    <xf numFmtId="0" fontId="37" fillId="0" borderId="2" xfId="0" applyFont="1" applyBorder="1" applyAlignment="1">
      <alignment horizontal="center"/>
    </xf>
    <xf numFmtId="164" fontId="68" fillId="0" borderId="0" xfId="1" applyNumberFormat="1" applyFont="1" applyAlignment="1">
      <alignment horizontal="center" vertical="center"/>
    </xf>
    <xf numFmtId="164" fontId="67" fillId="0" borderId="0" xfId="0" applyNumberFormat="1" applyFont="1" applyAlignment="1">
      <alignment horizontal="center" vertical="center"/>
    </xf>
    <xf numFmtId="0" fontId="67" fillId="0" borderId="0" xfId="0" applyFont="1" applyAlignment="1">
      <alignment horizontal="center" vertical="center"/>
    </xf>
  </cellXfs>
  <cellStyles count="136">
    <cellStyle name="%" xfId="11" xr:uid="{00000000-0005-0000-0000-000000000000}"/>
    <cellStyle name="% 2" xfId="60" xr:uid="{00000000-0005-0000-0000-000001000000}"/>
    <cellStyle name="]_x000d__x000a_Zoomed=1_x000d__x000a_Row=0_x000d__x000a_Column=0_x000d__x000a_Height=0_x000d__x000a_Width=0_x000d__x000a_FontName=FoxFont_x000d__x000a_FontStyle=0_x000d__x000a_FontSize=9_x000d__x000a_PrtFontName=FoxPrin" xfId="3" xr:uid="{00000000-0005-0000-0000-000002000000}"/>
    <cellStyle name="Comma" xfId="48" builtinId="3"/>
    <cellStyle name="Comma 2" xfId="12" xr:uid="{00000000-0005-0000-0000-000004000000}"/>
    <cellStyle name="Comma 2 2" xfId="61" xr:uid="{00000000-0005-0000-0000-000005000000}"/>
    <cellStyle name="Comma 2 3" xfId="53" xr:uid="{00000000-0005-0000-0000-000006000000}"/>
    <cellStyle name="Comma 3" xfId="13" xr:uid="{00000000-0005-0000-0000-000007000000}"/>
    <cellStyle name="Comma 3 2" xfId="62" xr:uid="{00000000-0005-0000-0000-000008000000}"/>
    <cellStyle name="Comma 3 3" xfId="54" xr:uid="{00000000-0005-0000-0000-000009000000}"/>
    <cellStyle name="Comma 4" xfId="14" xr:uid="{00000000-0005-0000-0000-00000A000000}"/>
    <cellStyle name="Comma 5" xfId="52" xr:uid="{00000000-0005-0000-0000-00000B000000}"/>
    <cellStyle name="Comma 6" xfId="79" xr:uid="{00000000-0005-0000-0000-00000C000000}"/>
    <cellStyle name="Comma 7" xfId="130" xr:uid="{15075FFA-976A-4A56-9C12-0B9A2B6D45F3}"/>
    <cellStyle name="Comma 8" xfId="135" xr:uid="{9415DCAF-3A32-4DBB-85B3-2A7AE3D22F22}"/>
    <cellStyle name="Currency" xfId="132" builtinId="4"/>
    <cellStyle name="Currency 2" xfId="15" xr:uid="{00000000-0005-0000-0000-00000E000000}"/>
    <cellStyle name="Currency 2 2" xfId="63" xr:uid="{00000000-0005-0000-0000-00000F000000}"/>
    <cellStyle name="Currency 2 3" xfId="56" xr:uid="{00000000-0005-0000-0000-000010000000}"/>
    <cellStyle name="Currency 3" xfId="16" xr:uid="{00000000-0005-0000-0000-000011000000}"/>
    <cellStyle name="Currency 3 2" xfId="64" xr:uid="{00000000-0005-0000-0000-000012000000}"/>
    <cellStyle name="Currency 3 3" xfId="57" xr:uid="{00000000-0005-0000-0000-000013000000}"/>
    <cellStyle name="Currency 4" xfId="17" xr:uid="{00000000-0005-0000-0000-000014000000}"/>
    <cellStyle name="Currency 5" xfId="55" xr:uid="{00000000-0005-0000-0000-000015000000}"/>
    <cellStyle name="Estimated" xfId="18" xr:uid="{00000000-0005-0000-0000-000016000000}"/>
    <cellStyle name="external input" xfId="19" xr:uid="{00000000-0005-0000-0000-000017000000}"/>
    <cellStyle name="Header" xfId="4" xr:uid="{00000000-0005-0000-0000-000018000000}"/>
    <cellStyle name="HeaderGrant" xfId="5" xr:uid="{00000000-0005-0000-0000-000019000000}"/>
    <cellStyle name="HeaderGrant 2" xfId="80" xr:uid="{00000000-0005-0000-0000-00001A000000}"/>
    <cellStyle name="HeaderGrant 3" xfId="81" xr:uid="{00000000-0005-0000-0000-00001B000000}"/>
    <cellStyle name="HeaderLEA" xfId="6" xr:uid="{00000000-0005-0000-0000-00001C000000}"/>
    <cellStyle name="Hyperlink" xfId="133" builtinId="8"/>
    <cellStyle name="Hyperlink 2" xfId="58" xr:uid="{00000000-0005-0000-0000-00001D000000}"/>
    <cellStyle name="Imported" xfId="20" xr:uid="{00000000-0005-0000-0000-00001E000000}"/>
    <cellStyle name="LEAName" xfId="7" xr:uid="{00000000-0005-0000-0000-00001F000000}"/>
    <cellStyle name="LEANumber" xfId="8" xr:uid="{00000000-0005-0000-0000-000020000000}"/>
    <cellStyle name="log projection" xfId="21" xr:uid="{00000000-0005-0000-0000-000021000000}"/>
    <cellStyle name="log projection 2" xfId="82" xr:uid="{00000000-0005-0000-0000-000022000000}"/>
    <cellStyle name="log projection 2 2" xfId="83" xr:uid="{00000000-0005-0000-0000-000023000000}"/>
    <cellStyle name="log projection 2 2 2" xfId="84" xr:uid="{00000000-0005-0000-0000-000024000000}"/>
    <cellStyle name="log projection 2 2 3" xfId="85" xr:uid="{00000000-0005-0000-0000-000025000000}"/>
    <cellStyle name="log projection 2 3" xfId="86" xr:uid="{00000000-0005-0000-0000-000026000000}"/>
    <cellStyle name="log projection 2 3 2" xfId="87" xr:uid="{00000000-0005-0000-0000-000027000000}"/>
    <cellStyle name="log projection 2 3 3" xfId="88" xr:uid="{00000000-0005-0000-0000-000028000000}"/>
    <cellStyle name="log projection 2 4" xfId="89" xr:uid="{00000000-0005-0000-0000-000029000000}"/>
    <cellStyle name="log projection 2 4 2" xfId="90" xr:uid="{00000000-0005-0000-0000-00002A000000}"/>
    <cellStyle name="log projection 2 4 3" xfId="91" xr:uid="{00000000-0005-0000-0000-00002B000000}"/>
    <cellStyle name="log projection 2 5" xfId="92" xr:uid="{00000000-0005-0000-0000-00002C000000}"/>
    <cellStyle name="log projection 3" xfId="93" xr:uid="{00000000-0005-0000-0000-00002D000000}"/>
    <cellStyle name="log projection 3 2" xfId="94" xr:uid="{00000000-0005-0000-0000-00002E000000}"/>
    <cellStyle name="log projection 3 2 2" xfId="95" xr:uid="{00000000-0005-0000-0000-00002F000000}"/>
    <cellStyle name="log projection 3 2 3" xfId="96" xr:uid="{00000000-0005-0000-0000-000030000000}"/>
    <cellStyle name="log projection 3 3" xfId="97" xr:uid="{00000000-0005-0000-0000-000031000000}"/>
    <cellStyle name="log projection 3 3 2" xfId="98" xr:uid="{00000000-0005-0000-0000-000032000000}"/>
    <cellStyle name="log projection 3 3 3" xfId="99" xr:uid="{00000000-0005-0000-0000-000033000000}"/>
    <cellStyle name="log projection 3 4" xfId="100" xr:uid="{00000000-0005-0000-0000-000034000000}"/>
    <cellStyle name="log projection 3 4 2" xfId="101" xr:uid="{00000000-0005-0000-0000-000035000000}"/>
    <cellStyle name="log projection 3 4 3" xfId="102" xr:uid="{00000000-0005-0000-0000-000036000000}"/>
    <cellStyle name="log projection 3 5" xfId="103" xr:uid="{00000000-0005-0000-0000-000037000000}"/>
    <cellStyle name="log projection 4" xfId="104" xr:uid="{00000000-0005-0000-0000-000038000000}"/>
    <cellStyle name="log projection 4 2" xfId="105" xr:uid="{00000000-0005-0000-0000-000039000000}"/>
    <cellStyle name="log projection 4 2 2" xfId="106" xr:uid="{00000000-0005-0000-0000-00003A000000}"/>
    <cellStyle name="log projection 4 2 3" xfId="107" xr:uid="{00000000-0005-0000-0000-00003B000000}"/>
    <cellStyle name="log projection 4 3" xfId="108" xr:uid="{00000000-0005-0000-0000-00003C000000}"/>
    <cellStyle name="log projection 4 3 2" xfId="109" xr:uid="{00000000-0005-0000-0000-00003D000000}"/>
    <cellStyle name="log projection 4 3 3" xfId="110" xr:uid="{00000000-0005-0000-0000-00003E000000}"/>
    <cellStyle name="log projection 4 4" xfId="111" xr:uid="{00000000-0005-0000-0000-00003F000000}"/>
    <cellStyle name="log projection 4 4 2" xfId="112" xr:uid="{00000000-0005-0000-0000-000040000000}"/>
    <cellStyle name="log projection 4 5" xfId="113" xr:uid="{00000000-0005-0000-0000-000041000000}"/>
    <cellStyle name="Normal" xfId="0" builtinId="0"/>
    <cellStyle name="Normal 10" xfId="73" xr:uid="{00000000-0005-0000-0000-000043000000}"/>
    <cellStyle name="Normal 10 2" xfId="114" xr:uid="{00000000-0005-0000-0000-000044000000}"/>
    <cellStyle name="Normal 11" xfId="75" xr:uid="{00000000-0005-0000-0000-000045000000}"/>
    <cellStyle name="Normal 11 2" xfId="115" xr:uid="{00000000-0005-0000-0000-000046000000}"/>
    <cellStyle name="Normal 11 2 10" xfId="76" xr:uid="{00000000-0005-0000-0000-000047000000}"/>
    <cellStyle name="Normal 12" xfId="78" xr:uid="{00000000-0005-0000-0000-000048000000}"/>
    <cellStyle name="Normal 12 2" xfId="116" xr:uid="{00000000-0005-0000-0000-000049000000}"/>
    <cellStyle name="Normal 13" xfId="74" xr:uid="{00000000-0005-0000-0000-00004A000000}"/>
    <cellStyle name="Normal 13 2" xfId="117" xr:uid="{00000000-0005-0000-0000-00004B000000}"/>
    <cellStyle name="Normal 14" xfId="118" xr:uid="{00000000-0005-0000-0000-00004C000000}"/>
    <cellStyle name="Normal 15" xfId="123" xr:uid="{76F586C5-B318-4E8B-9EEC-5CBBFAB30E7B}"/>
    <cellStyle name="Normal 15 2" xfId="126" xr:uid="{34AEB44B-E229-438E-A4E5-4A0E69D47B7A}"/>
    <cellStyle name="Normal 16" xfId="124" xr:uid="{90E091CC-8F0D-4032-895C-6636AE7F1186}"/>
    <cellStyle name="Normal 17" xfId="125" xr:uid="{475D1F4F-9EB5-42C8-9178-AFECFEB8A0F7}"/>
    <cellStyle name="Normal 18" xfId="129" xr:uid="{6DA4065F-01A4-422C-8A1C-8D11585B94AB}"/>
    <cellStyle name="Normal 19" xfId="134" xr:uid="{F435DBF0-B682-421B-A31E-28BD649259E7}"/>
    <cellStyle name="Normal 2" xfId="1" xr:uid="{00000000-0005-0000-0000-00004D000000}"/>
    <cellStyle name="Normal 2 2" xfId="22" xr:uid="{00000000-0005-0000-0000-00004E000000}"/>
    <cellStyle name="Normal 2 2 2" xfId="40" xr:uid="{00000000-0005-0000-0000-00004F000000}"/>
    <cellStyle name="Normal 2 3" xfId="65" xr:uid="{00000000-0005-0000-0000-000050000000}"/>
    <cellStyle name="Normal 2 4" xfId="71" xr:uid="{00000000-0005-0000-0000-000051000000}"/>
    <cellStyle name="Normal 2 5" xfId="70" xr:uid="{00000000-0005-0000-0000-000052000000}"/>
    <cellStyle name="Normal 2 6" xfId="127" xr:uid="{1694C39B-AE08-4890-8A86-B8F043E6E306}"/>
    <cellStyle name="Normal 3" xfId="23" xr:uid="{00000000-0005-0000-0000-000053000000}"/>
    <cellStyle name="Normal 3 2" xfId="35" xr:uid="{00000000-0005-0000-0000-000054000000}"/>
    <cellStyle name="Normal 3 2 2" xfId="42" xr:uid="{00000000-0005-0000-0000-000055000000}"/>
    <cellStyle name="Normal 3 2 2 2" xfId="66" xr:uid="{00000000-0005-0000-0000-000056000000}"/>
    <cellStyle name="Normal 3 3" xfId="77" xr:uid="{00000000-0005-0000-0000-000057000000}"/>
    <cellStyle name="Normal 3 4" xfId="128" xr:uid="{B7FB6F9A-162E-440B-AEC7-B38CBB3B0563}"/>
    <cellStyle name="Normal 4" xfId="24" xr:uid="{00000000-0005-0000-0000-000058000000}"/>
    <cellStyle name="Normal 4 2" xfId="34" xr:uid="{00000000-0005-0000-0000-000059000000}"/>
    <cellStyle name="Normal 4 2 2" xfId="41" xr:uid="{00000000-0005-0000-0000-00005A000000}"/>
    <cellStyle name="Normal 4 3" xfId="59" xr:uid="{00000000-0005-0000-0000-00005B000000}"/>
    <cellStyle name="Normal 5" xfId="36" xr:uid="{00000000-0005-0000-0000-00005C000000}"/>
    <cellStyle name="Normal 5 2" xfId="38" xr:uid="{00000000-0005-0000-0000-00005D000000}"/>
    <cellStyle name="Normal 5 2 2" xfId="44" xr:uid="{00000000-0005-0000-0000-00005E000000}"/>
    <cellStyle name="Normal 6" xfId="37" xr:uid="{00000000-0005-0000-0000-00005F000000}"/>
    <cellStyle name="Normal 6 2" xfId="46" xr:uid="{00000000-0005-0000-0000-000060000000}"/>
    <cellStyle name="Normal 6 3" xfId="47" xr:uid="{00000000-0005-0000-0000-000061000000}"/>
    <cellStyle name="Normal 7" xfId="39" xr:uid="{00000000-0005-0000-0000-000062000000}"/>
    <cellStyle name="Normal 7 2" xfId="43" xr:uid="{00000000-0005-0000-0000-000063000000}"/>
    <cellStyle name="Normal 8" xfId="45" xr:uid="{00000000-0005-0000-0000-000064000000}"/>
    <cellStyle name="Normal 8 2" xfId="50" xr:uid="{00000000-0005-0000-0000-000065000000}"/>
    <cellStyle name="Normal 8 3" xfId="69" xr:uid="{00000000-0005-0000-0000-000066000000}"/>
    <cellStyle name="Normal 9" xfId="51" xr:uid="{00000000-0005-0000-0000-000067000000}"/>
    <cellStyle name="Normal 9 2" xfId="72" xr:uid="{00000000-0005-0000-0000-000068000000}"/>
    <cellStyle name="Note 2" xfId="119" xr:uid="{00000000-0005-0000-0000-00006E000000}"/>
    <cellStyle name="Note 3" xfId="120" xr:uid="{00000000-0005-0000-0000-00006F000000}"/>
    <cellStyle name="Number" xfId="9" xr:uid="{00000000-0005-0000-0000-000070000000}"/>
    <cellStyle name="Percent" xfId="49" builtinId="5"/>
    <cellStyle name="Percent 2" xfId="2" xr:uid="{00000000-0005-0000-0000-000072000000}"/>
    <cellStyle name="Percent 2 2" xfId="10" xr:uid="{00000000-0005-0000-0000-000073000000}"/>
    <cellStyle name="Percent 2 2 2" xfId="68" xr:uid="{00000000-0005-0000-0000-000074000000}"/>
    <cellStyle name="Percent 2 3" xfId="67" xr:uid="{00000000-0005-0000-0000-000075000000}"/>
    <cellStyle name="Percent 3" xfId="25" xr:uid="{00000000-0005-0000-0000-000076000000}"/>
    <cellStyle name="Percent 4" xfId="121" xr:uid="{00000000-0005-0000-0000-000077000000}"/>
    <cellStyle name="Percent 5" xfId="122" xr:uid="{00000000-0005-0000-0000-000078000000}"/>
    <cellStyle name="Percent 6" xfId="131" xr:uid="{B90CA3D7-CDA5-409F-857F-5EE4701F11BC}"/>
    <cellStyle name="provisional PN158/97" xfId="26" xr:uid="{00000000-0005-0000-0000-000079000000}"/>
    <cellStyle name="Style 1" xfId="27" xr:uid="{00000000-0005-0000-0000-00007A000000}"/>
    <cellStyle name="sub" xfId="28" xr:uid="{00000000-0005-0000-0000-00007B000000}"/>
    <cellStyle name="table imported" xfId="29" xr:uid="{00000000-0005-0000-0000-00007C000000}"/>
    <cellStyle name="table sum" xfId="30" xr:uid="{00000000-0005-0000-0000-00007D000000}"/>
    <cellStyle name="table values" xfId="31" xr:uid="{00000000-0005-0000-0000-00007E000000}"/>
    <cellStyle name="u5shares" xfId="32" xr:uid="{00000000-0005-0000-0000-00007F000000}"/>
    <cellStyle name="Variable assumptions" xfId="33" xr:uid="{00000000-0005-0000-0000-000080000000}"/>
  </cellStyles>
  <dxfs count="33">
    <dxf>
      <fill>
        <patternFill patternType="darkGray">
          <fgColor theme="1" tint="0.34998626667073579"/>
        </patternFill>
      </fill>
    </dxf>
    <dxf>
      <fill>
        <patternFill patternType="darkGray">
          <fgColor theme="1" tint="0.34998626667073579"/>
        </patternFill>
      </fill>
    </dxf>
    <dxf>
      <fill>
        <patternFill patternType="darkGray">
          <fgColor theme="1" tint="0.34998626667073579"/>
        </patternFill>
      </fill>
    </dxf>
    <dxf>
      <fill>
        <patternFill patternType="darkGray">
          <fgColor theme="1" tint="0.34998626667073579"/>
        </patternFill>
      </fill>
    </dxf>
    <dxf>
      <fill>
        <patternFill patternType="darkGray">
          <fgColor theme="1"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9D9D7"/>
      <color rgb="FFFFFF99"/>
      <color rgb="FFFFFFCC"/>
      <color rgb="FFFFFF66"/>
      <color rgb="FFCCFFFF"/>
      <color rgb="FFE8F37B"/>
      <color rgb="FFCD9FC4"/>
      <color rgb="FF66FFFF"/>
      <color rgb="FFC3A9BF"/>
      <color rgb="FF72E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ERS new'!A1"/><Relationship Id="rId2" Type="http://schemas.openxmlformats.org/officeDocument/2006/relationships/hyperlink" Target="#Schools_Block_Budget_Detail_2024_25"/><Relationship Id="rId1" Type="http://schemas.openxmlformats.org/officeDocument/2006/relationships/image" Target="../media/image1.jpeg"/><Relationship Id="rId4" Type="http://schemas.openxmlformats.org/officeDocument/2006/relationships/hyperlink" Target="#Early_Years_Budget_Detail_2024_25"/></Relationships>
</file>

<file path=xl/drawings/_rels/drawing3.xml.rels><?xml version="1.0" encoding="UTF-8" standalone="yes"?>
<Relationships xmlns="http://schemas.openxmlformats.org/package/2006/relationships"><Relationship Id="rId2" Type="http://schemas.openxmlformats.org/officeDocument/2006/relationships/hyperlink" Target="#Main_Summary"/><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Main_Summary"/><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6</xdr:col>
      <xdr:colOff>167974</xdr:colOff>
      <xdr:row>0</xdr:row>
      <xdr:rowOff>64406</xdr:rowOff>
    </xdr:from>
    <xdr:ext cx="2258294" cy="1353912"/>
    <xdr:pic>
      <xdr:nvPicPr>
        <xdr:cNvPr id="2" name="Picture 5" descr="This is the official Derby City Council logo, featuring the ram facing towards the right and the words 'Derby City Council' below this.">
          <a:extLst>
            <a:ext uri="{FF2B5EF4-FFF2-40B4-BE49-F238E27FC236}">
              <a16:creationId xmlns:a16="http://schemas.microsoft.com/office/drawing/2014/main" id="{633473C8-9C9E-4948-BCE0-581B82C24E64}"/>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11489117" y="64406"/>
          <a:ext cx="2258294" cy="135391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xdr:from>
      <xdr:col>4</xdr:col>
      <xdr:colOff>309563</xdr:colOff>
      <xdr:row>12</xdr:row>
      <xdr:rowOff>202407</xdr:rowOff>
    </xdr:from>
    <xdr:to>
      <xdr:col>4</xdr:col>
      <xdr:colOff>571498</xdr:colOff>
      <xdr:row>12</xdr:row>
      <xdr:rowOff>392905</xdr:rowOff>
    </xdr:to>
    <xdr:sp macro="" textlink="">
      <xdr:nvSpPr>
        <xdr:cNvPr id="5" name="Arrow: Down 4">
          <a:extLst>
            <a:ext uri="{FF2B5EF4-FFF2-40B4-BE49-F238E27FC236}">
              <a16:creationId xmlns:a16="http://schemas.microsoft.com/office/drawing/2014/main" id="{C5914C59-B8AE-4B19-9B1F-88B41AA3CEDB}"/>
            </a:ext>
          </a:extLst>
        </xdr:cNvPr>
        <xdr:cNvSpPr/>
      </xdr:nvSpPr>
      <xdr:spPr>
        <a:xfrm rot="5400000">
          <a:off x="8608220" y="3250407"/>
          <a:ext cx="190498" cy="261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2989342</xdr:colOff>
      <xdr:row>0</xdr:row>
      <xdr:rowOff>74082</xdr:rowOff>
    </xdr:from>
    <xdr:ext cx="2185907" cy="1386419"/>
    <xdr:pic>
      <xdr:nvPicPr>
        <xdr:cNvPr id="2" name="Picture 5" descr="This is the official Derby City Council logo, featuring the ram facing towards the right and the words 'Derby City Council' below this.">
          <a:extLst>
            <a:ext uri="{FF2B5EF4-FFF2-40B4-BE49-F238E27FC236}">
              <a16:creationId xmlns:a16="http://schemas.microsoft.com/office/drawing/2014/main" id="{0FC14E2A-4281-46F7-B13C-9BFB2FF19EC7}"/>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10027259" y="74082"/>
          <a:ext cx="2185907" cy="1386419"/>
        </a:xfrm>
        <a:prstGeom prst="rect">
          <a:avLst/>
        </a:prstGeom>
        <a:noFill/>
        <a:ln w="9525">
          <a:noFill/>
          <a:miter lim="800000"/>
          <a:headEnd/>
          <a:tailEnd/>
        </a:ln>
      </xdr:spPr>
    </xdr:pic>
    <xdr:clientData/>
  </xdr:oneCellAnchor>
  <xdr:twoCellAnchor>
    <xdr:from>
      <xdr:col>3</xdr:col>
      <xdr:colOff>904866</xdr:colOff>
      <xdr:row>15</xdr:row>
      <xdr:rowOff>28575</xdr:rowOff>
    </xdr:from>
    <xdr:to>
      <xdr:col>3</xdr:col>
      <xdr:colOff>2976552</xdr:colOff>
      <xdr:row>15</xdr:row>
      <xdr:rowOff>444030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C3D6C1C-99FC-1C63-B60A-5CA0CF31759A}"/>
            </a:ext>
          </a:extLst>
        </xdr:cNvPr>
        <xdr:cNvSpPr/>
      </xdr:nvSpPr>
      <xdr:spPr>
        <a:xfrm>
          <a:off x="7227085" y="3648075"/>
          <a:ext cx="2071686" cy="415455"/>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rPr>
            <a:t>Schools Block</a:t>
          </a:r>
        </a:p>
      </xdr:txBody>
    </xdr:sp>
    <xdr:clientData/>
  </xdr:twoCellAnchor>
  <xdr:twoCellAnchor>
    <xdr:from>
      <xdr:col>3</xdr:col>
      <xdr:colOff>904865</xdr:colOff>
      <xdr:row>16</xdr:row>
      <xdr:rowOff>47624</xdr:rowOff>
    </xdr:from>
    <xdr:to>
      <xdr:col>3</xdr:col>
      <xdr:colOff>2988459</xdr:colOff>
      <xdr:row>16</xdr:row>
      <xdr:rowOff>464343</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DEFBA864-2168-4218-9037-380F2FDB2E7D}"/>
            </a:ext>
          </a:extLst>
        </xdr:cNvPr>
        <xdr:cNvSpPr/>
      </xdr:nvSpPr>
      <xdr:spPr>
        <a:xfrm>
          <a:off x="7429490" y="4167187"/>
          <a:ext cx="2083594" cy="416719"/>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rPr>
            <a:t>ERS</a:t>
          </a:r>
        </a:p>
      </xdr:txBody>
    </xdr:sp>
    <xdr:clientData/>
  </xdr:twoCellAnchor>
  <xdr:twoCellAnchor>
    <xdr:from>
      <xdr:col>3</xdr:col>
      <xdr:colOff>914390</xdr:colOff>
      <xdr:row>17</xdr:row>
      <xdr:rowOff>69056</xdr:rowOff>
    </xdr:from>
    <xdr:to>
      <xdr:col>3</xdr:col>
      <xdr:colOff>2997984</xdr:colOff>
      <xdr:row>17</xdr:row>
      <xdr:rowOff>488156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6DFAFF7E-01DD-5283-E2A6-C14AC8705D1C}"/>
            </a:ext>
          </a:extLst>
        </xdr:cNvPr>
        <xdr:cNvSpPr/>
      </xdr:nvSpPr>
      <xdr:spPr>
        <a:xfrm>
          <a:off x="7439015" y="4688681"/>
          <a:ext cx="2083594" cy="419100"/>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rPr>
            <a:t>Early Years</a:t>
          </a:r>
        </a:p>
      </xdr:txBody>
    </xdr:sp>
    <xdr:clientData/>
  </xdr:twoCellAnchor>
  <xdr:twoCellAnchor>
    <xdr:from>
      <xdr:col>4</xdr:col>
      <xdr:colOff>273846</xdr:colOff>
      <xdr:row>11</xdr:row>
      <xdr:rowOff>226222</xdr:rowOff>
    </xdr:from>
    <xdr:to>
      <xdr:col>4</xdr:col>
      <xdr:colOff>535781</xdr:colOff>
      <xdr:row>11</xdr:row>
      <xdr:rowOff>416720</xdr:rowOff>
    </xdr:to>
    <xdr:sp macro="" textlink="">
      <xdr:nvSpPr>
        <xdr:cNvPr id="10" name="Arrow: Down 9">
          <a:extLst>
            <a:ext uri="{FF2B5EF4-FFF2-40B4-BE49-F238E27FC236}">
              <a16:creationId xmlns:a16="http://schemas.microsoft.com/office/drawing/2014/main" id="{E0561AFA-0F69-7448-45E0-6EC18DF7905E}"/>
            </a:ext>
          </a:extLst>
        </xdr:cNvPr>
        <xdr:cNvSpPr/>
      </xdr:nvSpPr>
      <xdr:spPr>
        <a:xfrm rot="5400000">
          <a:off x="10810878" y="2857503"/>
          <a:ext cx="190498" cy="261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1857382</xdr:colOff>
      <xdr:row>14</xdr:row>
      <xdr:rowOff>35725</xdr:rowOff>
    </xdr:from>
    <xdr:to>
      <xdr:col>3</xdr:col>
      <xdr:colOff>2047880</xdr:colOff>
      <xdr:row>14</xdr:row>
      <xdr:rowOff>297660</xdr:rowOff>
    </xdr:to>
    <xdr:sp macro="" textlink="">
      <xdr:nvSpPr>
        <xdr:cNvPr id="11" name="Arrow: Down 10">
          <a:extLst>
            <a:ext uri="{FF2B5EF4-FFF2-40B4-BE49-F238E27FC236}">
              <a16:creationId xmlns:a16="http://schemas.microsoft.com/office/drawing/2014/main" id="{ECA3F34D-CCBE-4107-A3BC-3B8E6EAEC977}"/>
            </a:ext>
          </a:extLst>
        </xdr:cNvPr>
        <xdr:cNvSpPr/>
      </xdr:nvSpPr>
      <xdr:spPr>
        <a:xfrm>
          <a:off x="8882070" y="3702850"/>
          <a:ext cx="190498" cy="261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939116</xdr:colOff>
      <xdr:row>0</xdr:row>
      <xdr:rowOff>140493</xdr:rowOff>
    </xdr:from>
    <xdr:ext cx="3198152" cy="1431132"/>
    <xdr:pic>
      <xdr:nvPicPr>
        <xdr:cNvPr id="2" name="Picture 5" descr="This is the official Derby City Council logo, featuring the ram facing towards the right and the words 'Derby City Council' below this.">
          <a:extLst>
            <a:ext uri="{FF2B5EF4-FFF2-40B4-BE49-F238E27FC236}">
              <a16:creationId xmlns:a16="http://schemas.microsoft.com/office/drawing/2014/main" id="{1BC50E17-25E3-4142-A322-F3529F3D5382}"/>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12345304" y="140493"/>
          <a:ext cx="3198152" cy="14311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xdr:from>
      <xdr:col>7</xdr:col>
      <xdr:colOff>1212737</xdr:colOff>
      <xdr:row>9</xdr:row>
      <xdr:rowOff>134370</xdr:rowOff>
    </xdr:from>
    <xdr:to>
      <xdr:col>9</xdr:col>
      <xdr:colOff>477952</xdr:colOff>
      <xdr:row>10</xdr:row>
      <xdr:rowOff>445634</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D671F19E-25FA-44DC-1CDF-6DA7075FBEBF}"/>
            </a:ext>
          </a:extLst>
        </xdr:cNvPr>
        <xdr:cNvSpPr/>
      </xdr:nvSpPr>
      <xdr:spPr>
        <a:xfrm>
          <a:off x="12288951" y="2420370"/>
          <a:ext cx="2041072" cy="733085"/>
        </a:xfrm>
        <a:prstGeom prst="roundRect">
          <a:avLst/>
        </a:prstGeom>
        <a:solidFill>
          <a:srgbClr val="FFFF99"/>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a:solidFill>
                <a:schemeClr val="tx1"/>
              </a:solidFill>
            </a:rPr>
            <a:t>Back</a:t>
          </a:r>
          <a:r>
            <a:rPr lang="en-GB" sz="1800" b="1" baseline="0">
              <a:solidFill>
                <a:schemeClr val="tx1"/>
              </a:solidFill>
            </a:rPr>
            <a:t> to Schools Summary</a:t>
          </a:r>
          <a:endParaRPr lang="en-GB" sz="1800" b="1">
            <a:solidFill>
              <a:schemeClr val="tx1"/>
            </a:solidFill>
          </a:endParaRPr>
        </a:p>
      </xdr:txBody>
    </xdr:sp>
    <xdr:clientData/>
  </xdr:twoCellAnchor>
  <xdr:twoCellAnchor>
    <xdr:from>
      <xdr:col>8</xdr:col>
      <xdr:colOff>653143</xdr:colOff>
      <xdr:row>65</xdr:row>
      <xdr:rowOff>299357</xdr:rowOff>
    </xdr:from>
    <xdr:to>
      <xdr:col>9</xdr:col>
      <xdr:colOff>1319893</xdr:colOff>
      <xdr:row>68</xdr:row>
      <xdr:rowOff>312965</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861CC036-935F-4BF7-88E7-ECC3E75280B8}"/>
            </a:ext>
          </a:extLst>
        </xdr:cNvPr>
        <xdr:cNvSpPr/>
      </xdr:nvSpPr>
      <xdr:spPr>
        <a:xfrm>
          <a:off x="13117286" y="23213786"/>
          <a:ext cx="2054678" cy="857250"/>
        </a:xfrm>
        <a:prstGeom prst="roundRect">
          <a:avLst/>
        </a:prstGeom>
        <a:solidFill>
          <a:srgbClr val="FFFF99"/>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a:solidFill>
                <a:schemeClr val="tx1"/>
              </a:solidFill>
            </a:rPr>
            <a:t>Back</a:t>
          </a:r>
          <a:r>
            <a:rPr lang="en-GB" sz="1800" b="1" baseline="0">
              <a:solidFill>
                <a:schemeClr val="tx1"/>
              </a:solidFill>
            </a:rPr>
            <a:t> to Schools Summary</a:t>
          </a:r>
          <a:endParaRPr lang="en-GB" sz="18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218017</xdr:colOff>
      <xdr:row>0</xdr:row>
      <xdr:rowOff>140757</xdr:rowOff>
    </xdr:from>
    <xdr:ext cx="2087033" cy="1230843"/>
    <xdr:pic>
      <xdr:nvPicPr>
        <xdr:cNvPr id="3" name="Picture 5" descr="This is the official Derby City Council logo, featuring the ram facing towards the right and the words 'Derby City Council' below this.">
          <a:extLst>
            <a:ext uri="{FF2B5EF4-FFF2-40B4-BE49-F238E27FC236}">
              <a16:creationId xmlns:a16="http://schemas.microsoft.com/office/drawing/2014/main" id="{ADA82B39-3A45-4FE3-A982-4F17A146FC55}"/>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11038417" y="140757"/>
          <a:ext cx="2087033" cy="1230843"/>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xdr:from>
      <xdr:col>6</xdr:col>
      <xdr:colOff>297655</xdr:colOff>
      <xdr:row>11</xdr:row>
      <xdr:rowOff>116417</xdr:rowOff>
    </xdr:from>
    <xdr:to>
      <xdr:col>7</xdr:col>
      <xdr:colOff>1242218</xdr:colOff>
      <xdr:row>13</xdr:row>
      <xdr:rowOff>27780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9FEEDBBF-AA69-4081-B050-FB6A9631998E}"/>
            </a:ext>
          </a:extLst>
        </xdr:cNvPr>
        <xdr:cNvSpPr/>
      </xdr:nvSpPr>
      <xdr:spPr>
        <a:xfrm>
          <a:off x="10798968" y="2795323"/>
          <a:ext cx="2063750" cy="732895"/>
        </a:xfrm>
        <a:prstGeom prst="roundRect">
          <a:avLst/>
        </a:prstGeom>
        <a:solidFill>
          <a:srgbClr val="FFFF99"/>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a:solidFill>
                <a:schemeClr val="tx1"/>
              </a:solidFill>
            </a:rPr>
            <a:t>Back</a:t>
          </a:r>
          <a:r>
            <a:rPr lang="en-GB" sz="1800" b="1" baseline="0">
              <a:solidFill>
                <a:schemeClr val="tx1"/>
              </a:solidFill>
            </a:rPr>
            <a:t> to Schools Summary</a:t>
          </a:r>
          <a:endParaRPr lang="en-GB" sz="1800" b="1">
            <a:solidFill>
              <a:schemeClr val="tx1"/>
            </a:solidFill>
          </a:endParaRPr>
        </a:p>
      </xdr:txBody>
    </xdr:sp>
    <xdr:clientData/>
  </xdr:twoCellAnchor>
  <xdr:twoCellAnchor>
    <xdr:from>
      <xdr:col>6</xdr:col>
      <xdr:colOff>349250</xdr:colOff>
      <xdr:row>31</xdr:row>
      <xdr:rowOff>84666</xdr:rowOff>
    </xdr:from>
    <xdr:to>
      <xdr:col>7</xdr:col>
      <xdr:colOff>1285875</xdr:colOff>
      <xdr:row>33</xdr:row>
      <xdr:rowOff>133614</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E1276D2E-5AC3-42A7-89CF-887EC2DAC5D1}"/>
            </a:ext>
          </a:extLst>
        </xdr:cNvPr>
        <xdr:cNvSpPr/>
      </xdr:nvSpPr>
      <xdr:spPr>
        <a:xfrm>
          <a:off x="10826750" y="11377083"/>
          <a:ext cx="2047875" cy="726281"/>
        </a:xfrm>
        <a:prstGeom prst="roundRect">
          <a:avLst/>
        </a:prstGeom>
        <a:solidFill>
          <a:srgbClr val="FFFF99"/>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a:solidFill>
                <a:schemeClr val="tx1"/>
              </a:solidFill>
            </a:rPr>
            <a:t>Back</a:t>
          </a:r>
          <a:r>
            <a:rPr lang="en-GB" sz="1800" b="1" baseline="0">
              <a:solidFill>
                <a:schemeClr val="tx1"/>
              </a:solidFill>
            </a:rPr>
            <a:t> to Schools Summary</a:t>
          </a:r>
          <a:endParaRPr lang="en-GB" sz="18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10</xdr:col>
      <xdr:colOff>295276</xdr:colOff>
      <xdr:row>0</xdr:row>
      <xdr:rowOff>0</xdr:rowOff>
    </xdr:from>
    <xdr:ext cx="1179002" cy="695325"/>
    <xdr:pic>
      <xdr:nvPicPr>
        <xdr:cNvPr id="2" name="Picture 5" descr="This is the official Derby City Council logo, featuring the ram facing towards the right and the words 'Derby City Council' below this.">
          <a:extLst>
            <a:ext uri="{FF2B5EF4-FFF2-40B4-BE49-F238E27FC236}">
              <a16:creationId xmlns:a16="http://schemas.microsoft.com/office/drawing/2014/main" id="{D99DE9E7-2552-4453-BE6A-646517A787C5}"/>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9229726" y="0"/>
          <a:ext cx="1179002" cy="69532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977655</xdr:colOff>
      <xdr:row>0</xdr:row>
      <xdr:rowOff>47138</xdr:rowOff>
    </xdr:from>
    <xdr:ext cx="1179002" cy="695325"/>
    <xdr:pic>
      <xdr:nvPicPr>
        <xdr:cNvPr id="2" name="Picture 5" descr="This is the official Derby City Council logo, featuring the ram facing towards the right and the words 'Derby City Council' below this.">
          <a:extLst>
            <a:ext uri="{FF2B5EF4-FFF2-40B4-BE49-F238E27FC236}">
              <a16:creationId xmlns:a16="http://schemas.microsoft.com/office/drawing/2014/main" id="{A9B67F11-7782-4186-9952-43FB7392493A}"/>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6831867" y="47138"/>
          <a:ext cx="1179002" cy="69532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xdr:colOff>
      <xdr:row>4</xdr:row>
      <xdr:rowOff>73293</xdr:rowOff>
    </xdr:to>
    <xdr:pic>
      <xdr:nvPicPr>
        <xdr:cNvPr id="2" name="Picture 5" descr="https://iderby.derby.gov.uk/media/intranet/images/contentimages/commstoolkit/DerbyCityCouncil-Logo-A5.jpg">
          <a:extLst>
            <a:ext uri="{FF2B5EF4-FFF2-40B4-BE49-F238E27FC236}">
              <a16:creationId xmlns:a16="http://schemas.microsoft.com/office/drawing/2014/main" id="{16D1112E-E4EC-432B-BC45-FC6BBDE8F2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485900" cy="76226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647701</xdr:colOff>
      <xdr:row>4</xdr:row>
      <xdr:rowOff>76468</xdr:rowOff>
    </xdr:to>
    <xdr:pic>
      <xdr:nvPicPr>
        <xdr:cNvPr id="2" name="Picture 5" descr="https://iderby.derby.gov.uk/media/intranet/images/contentimages/commstoolkit/DerbyCityCouncil-Logo-A5.jpg">
          <a:extLst>
            <a:ext uri="{FF2B5EF4-FFF2-40B4-BE49-F238E27FC236}">
              <a16:creationId xmlns:a16="http://schemas.microsoft.com/office/drawing/2014/main" id="{9DD8B902-B720-4036-9CBC-2CC044B1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9251" cy="76226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emma Gaunt" id="{0A60409C-9ACE-4298-A838-0DF6D9129583}" userId="S::Jemma.Gaunt@derby.gov.uk::efb9da03-91bb-486c-b5a4-d542e9630ba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8" dT="2024-12-23T08:16:18.48" personId="{0A60409C-9ACE-4298-A838-0DF6D9129583}" id="{B9EB54ED-B4FE-4DD5-856C-4466BF05AE7F}">
    <text xml:space="preserve">Removed as expected to be filled@ October by Other LA’s - Vacant places is if they become vacant by other LA in September </text>
  </threadedComment>
  <threadedComment ref="Q11" dT="2024-12-23T08:16:18.48" personId="{0A60409C-9ACE-4298-A838-0DF6D9129583}" id="{A823F108-A7AA-4BEF-882F-B2B6DC195818}">
    <text xml:space="preserve">Removed as expected to be filled@ October by Other LA’s - Vacant places is if they become vacant by other LA in September </text>
  </threadedComment>
  <threadedComment ref="Q15" dT="2024-12-23T08:16:18.48" personId="{0A60409C-9ACE-4298-A838-0DF6D9129583}" id="{FE31B27E-2957-4A2C-8329-01187178F998}">
    <text xml:space="preserve">Removed as expected to be filled@ October by Other LA’s - Vacant places is if they become vacant by other LA in September </text>
  </threadedComment>
  <threadedComment ref="Q16" dT="2024-12-23T08:16:18.48" personId="{0A60409C-9ACE-4298-A838-0DF6D9129583}" id="{30182CA4-C94B-4162-8D72-7BF1C354AC2B}">
    <text xml:space="preserve">Removed as expected to be filled@ October by Other LA’s - Vacant places is if they become vacant by other LA in September </text>
  </threadedComment>
  <threadedComment ref="Q17" dT="2024-12-23T08:16:18.48" personId="{0A60409C-9ACE-4298-A838-0DF6D9129583}" id="{366E4AF2-0612-439A-BD31-9511BF91F0E5}">
    <text xml:space="preserve">Removed as expected to be filled@ October by Other LA’s - Vacant places is if they become vacant by other LA in September </text>
  </threadedComment>
  <threadedComment ref="Q18" dT="2024-12-23T08:16:18.48" personId="{0A60409C-9ACE-4298-A838-0DF6D9129583}" id="{7FF9BC49-3812-492D-8A18-E1E01F009FE4}">
    <text xml:space="preserve">Removed as expected to be filled@ October by Other LA’s - Vacant places is if they become vacant by other LA in September </text>
  </threadedComment>
  <threadedComment ref="Q24" dT="2024-12-23T08:16:18.48" personId="{0A60409C-9ACE-4298-A838-0DF6D9129583}" id="{D0C83779-1087-48A7-8872-DA137D97EC1B}">
    <text xml:space="preserve">Removed as expected to be filled@ October by Other LA’s - Vacant places is if they become vacant by other LA in September </text>
  </threadedComment>
  <threadedComment ref="Q25" dT="2024-12-23T08:16:18.48" personId="{0A60409C-9ACE-4298-A838-0DF6D9129583}" id="{2711BA3F-CA29-4A37-98AD-4C4A038D018E}">
    <text xml:space="preserve">Removed as expected to be filled@ October by Other LA’s - Vacant places is if they become vacant by other LA in September </text>
  </threadedComment>
  <threadedComment ref="T34" dT="2024-12-10T07:50:12.97" personId="{0A60409C-9ACE-4298-A838-0DF6D9129583}" id="{7456720F-7A4F-458C-881D-32BDA87A5DD5}">
    <text>Paid for 50 places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choolfinanceteam@derby.gov.u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hyperlink" Target="https://get-information-schools.service.gov.uk/Search?SelectedTab=Establishmen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choolfinanceteam@derby.gov.uk"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choolfinanceteam@derby.gov.u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choolfinanceteam@derby.gov.u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4FB4-0C56-4222-8ECE-DCA63DD9CF2C}">
  <sheetPr codeName="Sheet9">
    <pageSetUpPr fitToPage="1"/>
  </sheetPr>
  <dimension ref="B1:O302"/>
  <sheetViews>
    <sheetView showGridLines="0" tabSelected="1" zoomScale="70" zoomScaleNormal="70" workbookViewId="0">
      <selection activeCell="B13" sqref="B13:D13"/>
    </sheetView>
  </sheetViews>
  <sheetFormatPr defaultColWidth="9.1796875" defaultRowHeight="12.5" x14ac:dyDescent="0.25"/>
  <cols>
    <col min="1" max="1" width="8.26953125" customWidth="1"/>
    <col min="2" max="2" width="67.7265625" customWidth="1"/>
    <col min="3" max="3" width="35.7265625" customWidth="1"/>
    <col min="4" max="7" width="16.7265625" customWidth="1"/>
    <col min="8" max="8" width="20.7265625" customWidth="1"/>
    <col min="9" max="10" width="20.7265625" style="236" customWidth="1"/>
    <col min="11" max="11" width="9.1796875" style="236"/>
    <col min="14" max="14" width="12.1796875" style="321" bestFit="1" customWidth="1"/>
    <col min="15" max="15" width="9.1796875" style="321"/>
  </cols>
  <sheetData>
    <row r="1" spans="2:15" s="51" customFormat="1" ht="13" thickBot="1" x14ac:dyDescent="0.3">
      <c r="H1" s="52"/>
      <c r="I1" s="52"/>
      <c r="J1" s="52"/>
      <c r="N1" s="292"/>
      <c r="O1" s="292"/>
    </row>
    <row r="2" spans="2:15" s="51" customFormat="1" ht="22.5" customHeight="1" x14ac:dyDescent="0.25">
      <c r="B2" s="640" t="s">
        <v>153</v>
      </c>
      <c r="C2" s="46"/>
      <c r="N2" s="292"/>
      <c r="O2" s="292"/>
    </row>
    <row r="3" spans="2:15" s="51" customFormat="1" ht="20.25" customHeight="1" x14ac:dyDescent="0.25">
      <c r="B3" s="641"/>
      <c r="C3" s="52"/>
      <c r="N3" s="292"/>
      <c r="O3" s="292"/>
    </row>
    <row r="4" spans="2:15" s="51" customFormat="1" ht="21.75" customHeight="1" thickBot="1" x14ac:dyDescent="0.3">
      <c r="B4" s="642"/>
      <c r="C4" s="52"/>
      <c r="D4" s="52"/>
      <c r="E4" s="52"/>
      <c r="F4" s="52"/>
      <c r="G4" s="52"/>
      <c r="H4" s="52"/>
      <c r="I4" s="52"/>
      <c r="J4" s="52"/>
      <c r="N4" s="292"/>
      <c r="O4" s="292"/>
    </row>
    <row r="5" spans="2:15" s="51" customFormat="1" x14ac:dyDescent="0.25">
      <c r="B5" s="249"/>
      <c r="C5" s="52"/>
      <c r="D5" s="52"/>
      <c r="E5" s="52"/>
      <c r="F5" s="52"/>
      <c r="G5" s="52"/>
      <c r="H5" s="52"/>
      <c r="I5" s="52"/>
      <c r="J5" s="52"/>
      <c r="N5" s="292"/>
      <c r="O5" s="292"/>
    </row>
    <row r="6" spans="2:15" s="51" customFormat="1" x14ac:dyDescent="0.25">
      <c r="B6" s="240"/>
      <c r="C6" s="52"/>
      <c r="D6" s="52"/>
      <c r="E6" s="52"/>
      <c r="F6" s="52"/>
      <c r="G6" s="52"/>
      <c r="H6" s="52"/>
      <c r="I6" s="52"/>
      <c r="J6" s="52"/>
      <c r="N6" s="292"/>
      <c r="O6" s="292"/>
    </row>
    <row r="7" spans="2:15" s="51" customFormat="1" ht="13" thickBot="1" x14ac:dyDescent="0.3">
      <c r="H7" s="52"/>
      <c r="I7" s="52"/>
      <c r="J7" s="52"/>
      <c r="N7" s="292"/>
      <c r="O7" s="292"/>
    </row>
    <row r="8" spans="2:15" s="51" customFormat="1" ht="30" customHeight="1" thickBot="1" x14ac:dyDescent="0.3">
      <c r="B8" s="239" t="s">
        <v>165</v>
      </c>
      <c r="C8" s="329"/>
      <c r="D8" s="53"/>
      <c r="E8" s="53"/>
      <c r="F8" s="53"/>
      <c r="G8" s="53"/>
      <c r="H8" s="54"/>
      <c r="I8" s="52"/>
      <c r="J8" s="52"/>
      <c r="N8" s="292"/>
      <c r="O8" s="292"/>
    </row>
    <row r="9" spans="2:15" s="51" customFormat="1" ht="15" customHeight="1" x14ac:dyDescent="0.25">
      <c r="B9" s="55"/>
      <c r="C9" s="60"/>
      <c r="D9" s="60"/>
      <c r="E9" s="60"/>
      <c r="H9" s="295"/>
      <c r="I9" s="52"/>
      <c r="J9" s="52"/>
      <c r="N9" s="292"/>
      <c r="O9" s="292"/>
    </row>
    <row r="10" spans="2:15" s="51" customFormat="1" ht="15" customHeight="1" thickBot="1" x14ac:dyDescent="0.3">
      <c r="B10" s="55"/>
      <c r="C10" s="60"/>
      <c r="D10" s="60"/>
      <c r="E10" s="60"/>
      <c r="H10" s="295"/>
      <c r="I10" s="52"/>
      <c r="J10" s="52"/>
      <c r="K10" s="56"/>
      <c r="N10" s="292"/>
      <c r="O10" s="292"/>
    </row>
    <row r="11" spans="2:15" s="50" customFormat="1" ht="33.75" customHeight="1" x14ac:dyDescent="0.25">
      <c r="B11" s="643" t="s">
        <v>166</v>
      </c>
      <c r="C11" s="644"/>
      <c r="D11" s="645"/>
      <c r="E11" s="58"/>
      <c r="F11" s="649" t="s">
        <v>155</v>
      </c>
      <c r="G11" s="222"/>
      <c r="H11" s="253"/>
      <c r="I11" s="58"/>
      <c r="J11" s="58"/>
      <c r="N11" s="319"/>
      <c r="O11" s="319"/>
    </row>
    <row r="12" spans="2:15" s="50" customFormat="1" ht="32.25" customHeight="1" thickBot="1" x14ac:dyDescent="0.3">
      <c r="B12" s="646"/>
      <c r="C12" s="647"/>
      <c r="D12" s="648"/>
      <c r="E12" s="58"/>
      <c r="F12" s="650"/>
      <c r="G12" s="222"/>
      <c r="H12" s="253"/>
      <c r="I12" s="58"/>
      <c r="J12" s="58"/>
      <c r="N12" s="319"/>
      <c r="O12" s="319"/>
    </row>
    <row r="13" spans="2:15" s="51" customFormat="1" ht="33" customHeight="1" thickBot="1" x14ac:dyDescent="0.3">
      <c r="B13" s="651" t="s">
        <v>754</v>
      </c>
      <c r="C13" s="652" t="s">
        <v>167</v>
      </c>
      <c r="D13" s="653" t="s">
        <v>167</v>
      </c>
      <c r="E13" s="56"/>
      <c r="F13" s="223" t="str">
        <f>_xlfn.XLOOKUP(B13,'PVI Provider Lookup'!A:A,'PVI Provider Lookup'!B:B)</f>
        <v>All</v>
      </c>
      <c r="G13" s="224"/>
      <c r="H13" s="253"/>
      <c r="I13" s="57"/>
      <c r="J13" s="57"/>
      <c r="N13" s="292"/>
      <c r="O13" s="292"/>
    </row>
    <row r="14" spans="2:15" s="51" customFormat="1" ht="27" customHeight="1" x14ac:dyDescent="0.25">
      <c r="B14" s="59"/>
      <c r="C14" s="639"/>
      <c r="D14" s="639"/>
      <c r="E14" s="639"/>
      <c r="F14" s="56"/>
      <c r="G14" s="56"/>
      <c r="H14" s="296"/>
      <c r="I14" s="57"/>
      <c r="J14" s="57"/>
      <c r="N14" s="292"/>
      <c r="O14" s="292"/>
    </row>
    <row r="15" spans="2:15" s="51" customFormat="1" ht="27" customHeight="1" thickBot="1" x14ac:dyDescent="0.3">
      <c r="B15" s="59"/>
      <c r="C15" s="60"/>
      <c r="D15" s="60"/>
      <c r="E15" s="60"/>
      <c r="F15" s="56"/>
      <c r="G15" s="56"/>
      <c r="H15" s="297"/>
      <c r="I15" s="56"/>
      <c r="J15" s="57"/>
      <c r="N15" s="292"/>
      <c r="O15" s="292"/>
    </row>
    <row r="16" spans="2:15" s="51" customFormat="1" ht="57" customHeight="1" thickBot="1" x14ac:dyDescent="0.3">
      <c r="B16" s="654" t="s">
        <v>168</v>
      </c>
      <c r="C16" s="655"/>
      <c r="D16" s="152" t="s">
        <v>169</v>
      </c>
      <c r="E16" s="260" t="s">
        <v>798</v>
      </c>
      <c r="F16" s="260" t="s">
        <v>799</v>
      </c>
      <c r="G16" s="261" t="s">
        <v>800</v>
      </c>
      <c r="H16" s="151" t="s">
        <v>170</v>
      </c>
      <c r="I16" s="58"/>
      <c r="J16" s="61"/>
      <c r="N16" s="292"/>
      <c r="O16" s="292"/>
    </row>
    <row r="17" spans="2:15" s="51" customFormat="1" ht="35.15" customHeight="1" x14ac:dyDescent="0.25">
      <c r="B17" s="656" t="s">
        <v>1351</v>
      </c>
      <c r="C17" s="657"/>
      <c r="D17" s="298">
        <v>5.52</v>
      </c>
      <c r="E17" s="299">
        <f>IFERROR(SUMIF('3&amp;4 Yo'!$C$60:$C$202,$F$13,'3&amp;4 Yo'!$E$60:$E$202),0)</f>
        <v>446994.95999999996</v>
      </c>
      <c r="F17" s="299">
        <f>IFERROR(SUMIF('3&amp;4 Yo'!$C$60:$C$202,$F$13,'3&amp;4 Yo'!$I$60:$I$202),0)</f>
        <v>319163.81428571424</v>
      </c>
      <c r="G17" s="299">
        <f>IFERROR(SUMIF('3&amp;4 Yo'!$C$60:$C$202,$F$13,'3&amp;4 Yo'!$M$60:$M$202),0)</f>
        <v>306298.1808333334</v>
      </c>
      <c r="H17" s="259">
        <f>SUM(E17:G17)*D17</f>
        <v>5919962.3922571419</v>
      </c>
      <c r="I17" s="62"/>
      <c r="J17" s="63"/>
      <c r="N17" s="320" t="e">
        <f>_xlfn.XLOOKUP($F$13,#REF!,#REF!,0,0)</f>
        <v>#REF!</v>
      </c>
      <c r="O17" s="293" t="e">
        <f>H17-N17</f>
        <v>#REF!</v>
      </c>
    </row>
    <row r="18" spans="2:15" s="51" customFormat="1" ht="35.15" customHeight="1" x14ac:dyDescent="0.25">
      <c r="B18" s="656" t="s">
        <v>1352</v>
      </c>
      <c r="C18" s="657"/>
      <c r="D18" s="298">
        <v>5.52</v>
      </c>
      <c r="E18" s="299">
        <f>IFERROR(SUMIF('3&amp;4 Yo'!$C$60:$C$202,$F$13,'3&amp;4 Yo'!$F$60:$F$202),0)</f>
        <v>216048.33000000002</v>
      </c>
      <c r="F18" s="299">
        <f>IFERROR(SUMIF('3&amp;4 Yo'!$C$60:$C$202,$F$13,'3&amp;4 Yo'!$J$60:$J$202),0)</f>
        <v>153082.47785714286</v>
      </c>
      <c r="G18" s="299">
        <f>IFERROR(SUMIF('3&amp;4 Yo'!$C$60:$C$202,$F$13,'3&amp;4 Yo'!$N$60:$N$202),0)</f>
        <v>148556.17666666667</v>
      </c>
      <c r="H18" s="259">
        <f>SUM(E18:G18)*D18</f>
        <v>2857632.1545714284</v>
      </c>
      <c r="I18" s="62"/>
      <c r="J18" s="63"/>
      <c r="N18" s="320"/>
      <c r="O18" s="293"/>
    </row>
    <row r="19" spans="2:15" s="51" customFormat="1" ht="35.15" customHeight="1" x14ac:dyDescent="0.25">
      <c r="B19" s="658" t="s">
        <v>778</v>
      </c>
      <c r="C19" s="659"/>
      <c r="D19" s="255">
        <v>8.1</v>
      </c>
      <c r="E19" s="524">
        <f>_xlfn.XLOOKUP($F$13,'Additional Support 2 yo'!$B:$B,'Additional Support 2 yo'!D:D,0)</f>
        <v>0</v>
      </c>
      <c r="F19" s="524">
        <f>_xlfn.XLOOKUP($F$13,'Additional Support 2 yo'!$B:$B,'Additional Support 2 yo'!F:F,0)</f>
        <v>0</v>
      </c>
      <c r="G19" s="524">
        <f>_xlfn.XLOOKUP($F$13,'Additional Support 2 yo'!$B:$B,'Additional Support 2 yo'!H:H,0)</f>
        <v>0</v>
      </c>
      <c r="H19" s="525"/>
      <c r="I19" s="62"/>
      <c r="J19" s="63"/>
      <c r="N19" s="320" t="e">
        <f>_xlfn.XLOOKUP($F$13,#REF!,#REF!,0,0)</f>
        <v>#REF!</v>
      </c>
      <c r="O19" s="293" t="e">
        <f>H19-N19</f>
        <v>#REF!</v>
      </c>
    </row>
    <row r="20" spans="2:15" s="51" customFormat="1" ht="35.15" customHeight="1" x14ac:dyDescent="0.25">
      <c r="B20" s="658" t="s">
        <v>171</v>
      </c>
      <c r="C20" s="659"/>
      <c r="D20" s="255">
        <v>8.1</v>
      </c>
      <c r="E20" s="524">
        <f>_xlfn.XLOOKUP($F$13,'Working 2 yo'!$B:$B,'Working 2 yo'!D:D,0)</f>
        <v>0</v>
      </c>
      <c r="F20" s="524">
        <f>_xlfn.XLOOKUP($F$13,'Working 2 yo'!$B:$B,'Working 2 yo'!F:F,0)</f>
        <v>0</v>
      </c>
      <c r="G20" s="524">
        <f>_xlfn.XLOOKUP($F$13,'Working 2 yo'!$B:$B,'Working 2 yo'!H:H,0)</f>
        <v>0</v>
      </c>
      <c r="H20" s="526"/>
      <c r="I20" s="62"/>
      <c r="J20" s="63"/>
      <c r="N20" s="320" t="e">
        <f>_xlfn.XLOOKUP($F$13,#REF!,#REF!,0,0)</f>
        <v>#REF!</v>
      </c>
      <c r="O20" s="293" t="e">
        <f>H20-N20</f>
        <v>#REF!</v>
      </c>
    </row>
    <row r="21" spans="2:15" s="51" customFormat="1" ht="35.15" customHeight="1" thickBot="1" x14ac:dyDescent="0.3">
      <c r="B21" s="660" t="s">
        <v>172</v>
      </c>
      <c r="C21" s="661"/>
      <c r="D21" s="256">
        <v>11.16</v>
      </c>
      <c r="E21" s="524">
        <f>_xlfn.XLOOKUP($F$13,'Under 2s'!$B:$B,'Under 2s'!D:D,0)</f>
        <v>0</v>
      </c>
      <c r="F21" s="524">
        <f>_xlfn.XLOOKUP($F$13,'Under 2s'!$B:$B,'Under 2s'!F:F,0)</f>
        <v>0</v>
      </c>
      <c r="G21" s="524">
        <f>_xlfn.XLOOKUP($F$13,'Under 2s'!$B:$B,'Under 2s'!H:H,0)</f>
        <v>0</v>
      </c>
      <c r="H21" s="527"/>
      <c r="I21" s="62"/>
      <c r="J21" s="63"/>
      <c r="N21" s="320" t="e">
        <f>_xlfn.XLOOKUP(F13,'ISB new'!A:A,'ISB new'!#REF!,0,0)</f>
        <v>#REF!</v>
      </c>
      <c r="O21" s="293" t="e">
        <f>H21-N21</f>
        <v>#REF!</v>
      </c>
    </row>
    <row r="22" spans="2:15" s="51" customFormat="1" ht="50.25" customHeight="1" thickBot="1" x14ac:dyDescent="0.3">
      <c r="B22" s="679" t="s">
        <v>173</v>
      </c>
      <c r="C22" s="680"/>
      <c r="D22" s="152" t="s">
        <v>169</v>
      </c>
      <c r="E22" s="665"/>
      <c r="F22" s="666"/>
      <c r="G22" s="667"/>
      <c r="H22" s="151" t="s">
        <v>170</v>
      </c>
      <c r="I22" s="58"/>
      <c r="J22" s="58"/>
      <c r="N22" s="292"/>
      <c r="O22" s="292"/>
    </row>
    <row r="23" spans="2:15" s="51" customFormat="1" ht="35.15" customHeight="1" x14ac:dyDescent="0.25">
      <c r="B23" s="668" t="s">
        <v>174</v>
      </c>
      <c r="C23" s="669"/>
      <c r="D23" s="300">
        <v>0.6</v>
      </c>
      <c r="E23" s="670"/>
      <c r="F23" s="671"/>
      <c r="G23" s="672"/>
      <c r="H23" s="259">
        <f>IFERROR(SUMIF('3&amp;4 Yo'!$C$60:$C$202,$F$13,'3&amp;4 Yo'!$AB$60:$AB$202),0)*D23</f>
        <v>185219.82807142858</v>
      </c>
      <c r="I23" s="62"/>
      <c r="J23" s="62"/>
      <c r="N23" s="320" t="e">
        <f>_xlfn.XLOOKUP($F$13,#REF!,#REF!,0,0)</f>
        <v>#REF!</v>
      </c>
      <c r="O23" s="293" t="e">
        <f>H23-N23</f>
        <v>#REF!</v>
      </c>
    </row>
    <row r="24" spans="2:15" s="51" customFormat="1" ht="35.15" customHeight="1" x14ac:dyDescent="0.25">
      <c r="B24" s="658" t="s">
        <v>175</v>
      </c>
      <c r="C24" s="659"/>
      <c r="D24" s="257">
        <v>0.2</v>
      </c>
      <c r="E24" s="673"/>
      <c r="F24" s="674"/>
      <c r="G24" s="675"/>
      <c r="H24" s="259">
        <f>IFERROR(SUMIF('3&amp;4 Yo'!$C$60:$C$202,$F$13,'3&amp;4 Yo'!$AJ$60:$AJ$202),0)*D24</f>
        <v>59867.962071428577</v>
      </c>
      <c r="I24" s="62"/>
      <c r="J24" s="62"/>
      <c r="N24" s="320" t="e">
        <f>_xlfn.XLOOKUP($F$13,#REF!,#REF!,0,0)</f>
        <v>#REF!</v>
      </c>
      <c r="O24" s="293" t="e">
        <f>H24-N24</f>
        <v>#REF!</v>
      </c>
    </row>
    <row r="25" spans="2:15" s="51" customFormat="1" ht="35.15" customHeight="1" thickBot="1" x14ac:dyDescent="0.3">
      <c r="B25" s="660" t="s">
        <v>176</v>
      </c>
      <c r="C25" s="661"/>
      <c r="D25" s="258">
        <v>0.2</v>
      </c>
      <c r="E25" s="676"/>
      <c r="F25" s="677"/>
      <c r="G25" s="678"/>
      <c r="H25" s="259">
        <f>IFERROR(SUMIF('3&amp;4 Yo'!$C$60:$C$202,$F$13,'3&amp;4 Yo'!$AU$60:$AU$202),0)*D25</f>
        <v>30403.798047619046</v>
      </c>
      <c r="I25" s="62"/>
      <c r="J25" s="62"/>
      <c r="N25" s="320" t="e">
        <f>_xlfn.XLOOKUP($F$13,#REF!,#REF!,0,0)</f>
        <v>#REF!</v>
      </c>
      <c r="O25" s="293" t="e">
        <f>H25-N25</f>
        <v>#REF!</v>
      </c>
    </row>
    <row r="26" spans="2:15" s="51" customFormat="1" ht="35.15" customHeight="1" thickBot="1" x14ac:dyDescent="0.3">
      <c r="B26" s="16" t="s">
        <v>177</v>
      </c>
      <c r="C26" s="67"/>
      <c r="D26" s="68"/>
      <c r="E26" s="284"/>
      <c r="F26" s="284"/>
      <c r="G26" s="284"/>
      <c r="H26" s="235">
        <f>SUM(H17:H25)</f>
        <v>9053086.1350190453</v>
      </c>
      <c r="I26" s="229"/>
      <c r="J26" s="233"/>
      <c r="N26" s="320" t="e">
        <f>SUM(N17:N25)</f>
        <v>#REF!</v>
      </c>
      <c r="O26" s="293" t="e">
        <f>H26-N26</f>
        <v>#REF!</v>
      </c>
    </row>
    <row r="27" spans="2:15" s="51" customFormat="1" ht="37.5" customHeight="1" thickBot="1" x14ac:dyDescent="0.3">
      <c r="B27" s="662" t="s">
        <v>774</v>
      </c>
      <c r="C27" s="663"/>
      <c r="D27" s="663"/>
      <c r="E27" s="663"/>
      <c r="F27" s="663"/>
      <c r="G27" s="663"/>
      <c r="H27" s="664"/>
      <c r="I27" s="52"/>
      <c r="J27" s="52"/>
      <c r="N27" s="292"/>
      <c r="O27" s="292"/>
    </row>
    <row r="28" spans="2:15" s="51" customFormat="1" ht="27" customHeight="1" x14ac:dyDescent="0.25">
      <c r="B28" s="71"/>
      <c r="C28" s="71"/>
      <c r="D28" s="71"/>
      <c r="E28" s="71"/>
      <c r="F28" s="71"/>
      <c r="G28" s="71"/>
      <c r="H28" s="71"/>
      <c r="I28" s="52"/>
      <c r="J28" s="52"/>
      <c r="N28" s="292"/>
      <c r="O28" s="292"/>
    </row>
    <row r="29" spans="2:15" s="51" customFormat="1" ht="27" customHeight="1" x14ac:dyDescent="0.25">
      <c r="B29" s="72"/>
      <c r="C29" s="72"/>
      <c r="D29" s="72"/>
      <c r="E29" s="72"/>
      <c r="F29" s="72"/>
      <c r="G29" s="72"/>
      <c r="H29" s="72"/>
      <c r="I29" s="52"/>
      <c r="J29" s="52"/>
      <c r="N29" s="292"/>
      <c r="O29" s="292"/>
    </row>
    <row r="30" spans="2:15" s="51" customFormat="1" ht="27" customHeight="1" x14ac:dyDescent="0.25">
      <c r="B30" s="72"/>
      <c r="C30" s="72"/>
      <c r="D30" s="72"/>
      <c r="E30" s="72"/>
      <c r="F30" s="72"/>
      <c r="G30" s="72"/>
      <c r="H30" s="72"/>
      <c r="I30" s="52"/>
      <c r="J30" s="52"/>
      <c r="N30" s="292"/>
      <c r="O30" s="292"/>
    </row>
    <row r="31" spans="2:15" s="51" customFormat="1" ht="27" customHeight="1" x14ac:dyDescent="0.25">
      <c r="B31" s="72"/>
      <c r="C31" s="72"/>
      <c r="D31" s="72"/>
      <c r="E31" s="72"/>
      <c r="F31" s="72"/>
      <c r="G31" s="72"/>
      <c r="H31" s="72"/>
      <c r="I31" s="52"/>
      <c r="J31" s="52"/>
      <c r="N31" s="292"/>
      <c r="O31" s="292"/>
    </row>
    <row r="32" spans="2:15" s="236" customFormat="1" x14ac:dyDescent="0.25">
      <c r="N32" s="294"/>
      <c r="O32" s="294"/>
    </row>
    <row r="33" spans="14:15" s="236" customFormat="1" x14ac:dyDescent="0.25">
      <c r="N33" s="294"/>
      <c r="O33" s="294"/>
    </row>
    <row r="34" spans="14:15" s="236" customFormat="1" x14ac:dyDescent="0.25">
      <c r="N34" s="294"/>
      <c r="O34" s="294"/>
    </row>
    <row r="35" spans="14:15" s="236" customFormat="1" x14ac:dyDescent="0.25">
      <c r="N35" s="294"/>
      <c r="O35" s="294"/>
    </row>
    <row r="36" spans="14:15" s="236" customFormat="1" x14ac:dyDescent="0.25">
      <c r="N36" s="294"/>
      <c r="O36" s="294"/>
    </row>
    <row r="37" spans="14:15" s="236" customFormat="1" x14ac:dyDescent="0.25">
      <c r="N37" s="294"/>
      <c r="O37" s="294"/>
    </row>
    <row r="38" spans="14:15" s="236" customFormat="1" x14ac:dyDescent="0.25">
      <c r="N38" s="294"/>
      <c r="O38" s="294"/>
    </row>
    <row r="39" spans="14:15" s="236" customFormat="1" x14ac:dyDescent="0.25">
      <c r="N39" s="294"/>
      <c r="O39" s="294"/>
    </row>
    <row r="40" spans="14:15" s="236" customFormat="1" x14ac:dyDescent="0.25">
      <c r="N40" s="294"/>
      <c r="O40" s="294"/>
    </row>
    <row r="41" spans="14:15" s="236" customFormat="1" x14ac:dyDescent="0.25">
      <c r="N41" s="294"/>
      <c r="O41" s="294"/>
    </row>
    <row r="42" spans="14:15" s="236" customFormat="1" x14ac:dyDescent="0.25">
      <c r="N42" s="294"/>
      <c r="O42" s="294"/>
    </row>
    <row r="43" spans="14:15" s="236" customFormat="1" x14ac:dyDescent="0.25">
      <c r="N43" s="294"/>
      <c r="O43" s="294"/>
    </row>
    <row r="44" spans="14:15" s="236" customFormat="1" x14ac:dyDescent="0.25">
      <c r="N44" s="294"/>
      <c r="O44" s="294"/>
    </row>
    <row r="45" spans="14:15" s="236" customFormat="1" x14ac:dyDescent="0.25">
      <c r="N45" s="294"/>
      <c r="O45" s="294"/>
    </row>
    <row r="46" spans="14:15" s="236" customFormat="1" x14ac:dyDescent="0.25">
      <c r="N46" s="294"/>
      <c r="O46" s="294"/>
    </row>
    <row r="47" spans="14:15" s="236" customFormat="1" x14ac:dyDescent="0.25">
      <c r="N47" s="294"/>
      <c r="O47" s="294"/>
    </row>
    <row r="48" spans="14:15" s="236" customFormat="1" x14ac:dyDescent="0.25">
      <c r="N48" s="294"/>
      <c r="O48" s="294"/>
    </row>
    <row r="49" spans="14:15" s="236" customFormat="1" x14ac:dyDescent="0.25">
      <c r="N49" s="294"/>
      <c r="O49" s="294"/>
    </row>
    <row r="50" spans="14:15" s="236" customFormat="1" x14ac:dyDescent="0.25">
      <c r="N50" s="294"/>
      <c r="O50" s="294"/>
    </row>
    <row r="51" spans="14:15" s="236" customFormat="1" x14ac:dyDescent="0.25">
      <c r="N51" s="294"/>
      <c r="O51" s="294"/>
    </row>
    <row r="52" spans="14:15" s="236" customFormat="1" x14ac:dyDescent="0.25">
      <c r="N52" s="294"/>
      <c r="O52" s="294"/>
    </row>
    <row r="53" spans="14:15" s="236" customFormat="1" x14ac:dyDescent="0.25">
      <c r="N53" s="294"/>
      <c r="O53" s="294"/>
    </row>
    <row r="54" spans="14:15" s="236" customFormat="1" x14ac:dyDescent="0.25">
      <c r="N54" s="294"/>
      <c r="O54" s="294"/>
    </row>
    <row r="55" spans="14:15" s="236" customFormat="1" x14ac:dyDescent="0.25">
      <c r="N55" s="294"/>
      <c r="O55" s="294"/>
    </row>
    <row r="56" spans="14:15" s="236" customFormat="1" x14ac:dyDescent="0.25">
      <c r="N56" s="294"/>
      <c r="O56" s="294"/>
    </row>
    <row r="57" spans="14:15" s="236" customFormat="1" x14ac:dyDescent="0.25">
      <c r="N57" s="294"/>
      <c r="O57" s="294"/>
    </row>
    <row r="58" spans="14:15" s="236" customFormat="1" x14ac:dyDescent="0.25">
      <c r="N58" s="294"/>
      <c r="O58" s="294"/>
    </row>
    <row r="59" spans="14:15" s="236" customFormat="1" x14ac:dyDescent="0.25">
      <c r="N59" s="294"/>
      <c r="O59" s="294"/>
    </row>
    <row r="60" spans="14:15" s="236" customFormat="1" x14ac:dyDescent="0.25">
      <c r="N60" s="294"/>
      <c r="O60" s="294"/>
    </row>
    <row r="61" spans="14:15" s="236" customFormat="1" x14ac:dyDescent="0.25">
      <c r="N61" s="294"/>
      <c r="O61" s="294"/>
    </row>
    <row r="62" spans="14:15" s="236" customFormat="1" x14ac:dyDescent="0.25">
      <c r="N62" s="294"/>
      <c r="O62" s="294"/>
    </row>
    <row r="63" spans="14:15" s="236" customFormat="1" x14ac:dyDescent="0.25">
      <c r="N63" s="294"/>
      <c r="O63" s="294"/>
    </row>
    <row r="64" spans="14:15" s="236" customFormat="1" x14ac:dyDescent="0.25">
      <c r="N64" s="294"/>
      <c r="O64" s="294"/>
    </row>
    <row r="65" spans="14:15" s="236" customFormat="1" x14ac:dyDescent="0.25">
      <c r="N65" s="294"/>
      <c r="O65" s="294"/>
    </row>
    <row r="66" spans="14:15" s="236" customFormat="1" x14ac:dyDescent="0.25">
      <c r="N66" s="294"/>
      <c r="O66" s="294"/>
    </row>
    <row r="67" spans="14:15" s="236" customFormat="1" x14ac:dyDescent="0.25">
      <c r="N67" s="294"/>
      <c r="O67" s="294"/>
    </row>
    <row r="68" spans="14:15" s="236" customFormat="1" x14ac:dyDescent="0.25">
      <c r="N68" s="294"/>
      <c r="O68" s="294"/>
    </row>
    <row r="69" spans="14:15" s="236" customFormat="1" x14ac:dyDescent="0.25">
      <c r="N69" s="294"/>
      <c r="O69" s="294"/>
    </row>
    <row r="70" spans="14:15" s="236" customFormat="1" x14ac:dyDescent="0.25">
      <c r="N70" s="294"/>
      <c r="O70" s="294"/>
    </row>
    <row r="71" spans="14:15" s="236" customFormat="1" x14ac:dyDescent="0.25">
      <c r="N71" s="294"/>
      <c r="O71" s="294"/>
    </row>
    <row r="72" spans="14:15" s="236" customFormat="1" x14ac:dyDescent="0.25">
      <c r="N72" s="294"/>
      <c r="O72" s="294"/>
    </row>
    <row r="73" spans="14:15" s="236" customFormat="1" x14ac:dyDescent="0.25">
      <c r="N73" s="294"/>
      <c r="O73" s="294"/>
    </row>
    <row r="74" spans="14:15" s="236" customFormat="1" x14ac:dyDescent="0.25">
      <c r="N74" s="294"/>
      <c r="O74" s="294"/>
    </row>
    <row r="75" spans="14:15" s="236" customFormat="1" x14ac:dyDescent="0.25">
      <c r="N75" s="294"/>
      <c r="O75" s="294"/>
    </row>
    <row r="76" spans="14:15" s="236" customFormat="1" x14ac:dyDescent="0.25">
      <c r="N76" s="294"/>
      <c r="O76" s="294"/>
    </row>
    <row r="77" spans="14:15" s="236" customFormat="1" x14ac:dyDescent="0.25">
      <c r="N77" s="294"/>
      <c r="O77" s="294"/>
    </row>
    <row r="78" spans="14:15" s="236" customFormat="1" x14ac:dyDescent="0.25">
      <c r="N78" s="294"/>
      <c r="O78" s="294"/>
    </row>
    <row r="79" spans="14:15" s="236" customFormat="1" x14ac:dyDescent="0.25">
      <c r="N79" s="294"/>
      <c r="O79" s="294"/>
    </row>
    <row r="80" spans="14:15" s="236" customFormat="1" x14ac:dyDescent="0.25">
      <c r="N80" s="294"/>
      <c r="O80" s="294"/>
    </row>
    <row r="81" spans="14:15" s="236" customFormat="1" x14ac:dyDescent="0.25">
      <c r="N81" s="294"/>
      <c r="O81" s="294"/>
    </row>
    <row r="82" spans="14:15" s="236" customFormat="1" x14ac:dyDescent="0.25">
      <c r="N82" s="294"/>
      <c r="O82" s="294"/>
    </row>
    <row r="83" spans="14:15" s="236" customFormat="1" x14ac:dyDescent="0.25">
      <c r="N83" s="294"/>
      <c r="O83" s="294"/>
    </row>
    <row r="84" spans="14:15" s="236" customFormat="1" x14ac:dyDescent="0.25">
      <c r="N84" s="294"/>
      <c r="O84" s="294"/>
    </row>
    <row r="85" spans="14:15" s="236" customFormat="1" x14ac:dyDescent="0.25">
      <c r="N85" s="294"/>
      <c r="O85" s="294"/>
    </row>
    <row r="86" spans="14:15" s="236" customFormat="1" x14ac:dyDescent="0.25">
      <c r="N86" s="294"/>
      <c r="O86" s="294"/>
    </row>
    <row r="87" spans="14:15" s="236" customFormat="1" x14ac:dyDescent="0.25">
      <c r="N87" s="294"/>
      <c r="O87" s="294"/>
    </row>
    <row r="88" spans="14:15" s="236" customFormat="1" x14ac:dyDescent="0.25">
      <c r="N88" s="294"/>
      <c r="O88" s="294"/>
    </row>
    <row r="89" spans="14:15" s="236" customFormat="1" x14ac:dyDescent="0.25">
      <c r="N89" s="294"/>
      <c r="O89" s="294"/>
    </row>
    <row r="90" spans="14:15" s="236" customFormat="1" x14ac:dyDescent="0.25">
      <c r="N90" s="294"/>
      <c r="O90" s="294"/>
    </row>
    <row r="91" spans="14:15" s="236" customFormat="1" x14ac:dyDescent="0.25">
      <c r="N91" s="294"/>
      <c r="O91" s="294"/>
    </row>
    <row r="92" spans="14:15" s="236" customFormat="1" x14ac:dyDescent="0.25">
      <c r="N92" s="294"/>
      <c r="O92" s="294"/>
    </row>
    <row r="93" spans="14:15" s="236" customFormat="1" x14ac:dyDescent="0.25">
      <c r="N93" s="294"/>
      <c r="O93" s="294"/>
    </row>
    <row r="94" spans="14:15" s="236" customFormat="1" x14ac:dyDescent="0.25">
      <c r="N94" s="294"/>
      <c r="O94" s="294"/>
    </row>
    <row r="95" spans="14:15" s="236" customFormat="1" x14ac:dyDescent="0.25">
      <c r="N95" s="294"/>
      <c r="O95" s="294"/>
    </row>
    <row r="96" spans="14:15" s="236" customFormat="1" x14ac:dyDescent="0.25">
      <c r="N96" s="294"/>
      <c r="O96" s="294"/>
    </row>
    <row r="97" spans="14:15" s="236" customFormat="1" x14ac:dyDescent="0.25">
      <c r="N97" s="294"/>
      <c r="O97" s="294"/>
    </row>
    <row r="98" spans="14:15" s="236" customFormat="1" x14ac:dyDescent="0.25">
      <c r="N98" s="294"/>
      <c r="O98" s="294"/>
    </row>
    <row r="99" spans="14:15" s="236" customFormat="1" x14ac:dyDescent="0.25">
      <c r="N99" s="294"/>
      <c r="O99" s="294"/>
    </row>
    <row r="100" spans="14:15" s="236" customFormat="1" x14ac:dyDescent="0.25">
      <c r="N100" s="294"/>
      <c r="O100" s="294"/>
    </row>
    <row r="101" spans="14:15" s="236" customFormat="1" x14ac:dyDescent="0.25">
      <c r="N101" s="294"/>
      <c r="O101" s="294"/>
    </row>
    <row r="102" spans="14:15" s="236" customFormat="1" x14ac:dyDescent="0.25">
      <c r="N102" s="294"/>
      <c r="O102" s="294"/>
    </row>
    <row r="103" spans="14:15" s="236" customFormat="1" x14ac:dyDescent="0.25">
      <c r="N103" s="294"/>
      <c r="O103" s="294"/>
    </row>
    <row r="104" spans="14:15" s="236" customFormat="1" x14ac:dyDescent="0.25">
      <c r="N104" s="294"/>
      <c r="O104" s="294"/>
    </row>
    <row r="105" spans="14:15" s="236" customFormat="1" x14ac:dyDescent="0.25">
      <c r="N105" s="294"/>
      <c r="O105" s="294"/>
    </row>
    <row r="106" spans="14:15" s="236" customFormat="1" x14ac:dyDescent="0.25">
      <c r="N106" s="294"/>
      <c r="O106" s="294"/>
    </row>
    <row r="107" spans="14:15" s="236" customFormat="1" x14ac:dyDescent="0.25">
      <c r="N107" s="294"/>
      <c r="O107" s="294"/>
    </row>
    <row r="108" spans="14:15" s="236" customFormat="1" x14ac:dyDescent="0.25">
      <c r="N108" s="294"/>
      <c r="O108" s="294"/>
    </row>
    <row r="109" spans="14:15" s="236" customFormat="1" x14ac:dyDescent="0.25">
      <c r="N109" s="294"/>
      <c r="O109" s="294"/>
    </row>
    <row r="110" spans="14:15" s="236" customFormat="1" x14ac:dyDescent="0.25">
      <c r="N110" s="294"/>
      <c r="O110" s="294"/>
    </row>
    <row r="111" spans="14:15" s="236" customFormat="1" x14ac:dyDescent="0.25">
      <c r="N111" s="294"/>
      <c r="O111" s="294"/>
    </row>
    <row r="112" spans="14:15" s="236" customFormat="1" x14ac:dyDescent="0.25">
      <c r="N112" s="294"/>
      <c r="O112" s="294"/>
    </row>
    <row r="113" spans="14:15" s="236" customFormat="1" x14ac:dyDescent="0.25">
      <c r="N113" s="294"/>
      <c r="O113" s="294"/>
    </row>
    <row r="114" spans="14:15" s="236" customFormat="1" x14ac:dyDescent="0.25">
      <c r="N114" s="294"/>
      <c r="O114" s="294"/>
    </row>
    <row r="115" spans="14:15" s="236" customFormat="1" x14ac:dyDescent="0.25">
      <c r="N115" s="294"/>
      <c r="O115" s="294"/>
    </row>
    <row r="116" spans="14:15" s="236" customFormat="1" x14ac:dyDescent="0.25">
      <c r="N116" s="294"/>
      <c r="O116" s="294"/>
    </row>
    <row r="117" spans="14:15" s="236" customFormat="1" x14ac:dyDescent="0.25">
      <c r="N117" s="294"/>
      <c r="O117" s="294"/>
    </row>
    <row r="118" spans="14:15" s="236" customFormat="1" x14ac:dyDescent="0.25">
      <c r="N118" s="294"/>
      <c r="O118" s="294"/>
    </row>
    <row r="119" spans="14:15" s="236" customFormat="1" x14ac:dyDescent="0.25">
      <c r="N119" s="294"/>
      <c r="O119" s="294"/>
    </row>
    <row r="120" spans="14:15" s="236" customFormat="1" x14ac:dyDescent="0.25">
      <c r="N120" s="294"/>
      <c r="O120" s="294"/>
    </row>
    <row r="121" spans="14:15" s="236" customFormat="1" x14ac:dyDescent="0.25">
      <c r="N121" s="294"/>
      <c r="O121" s="294"/>
    </row>
    <row r="122" spans="14:15" s="236" customFormat="1" x14ac:dyDescent="0.25">
      <c r="N122" s="294"/>
      <c r="O122" s="294"/>
    </row>
    <row r="123" spans="14:15" s="236" customFormat="1" x14ac:dyDescent="0.25">
      <c r="N123" s="294"/>
      <c r="O123" s="294"/>
    </row>
    <row r="124" spans="14:15" s="236" customFormat="1" x14ac:dyDescent="0.25">
      <c r="N124" s="294"/>
      <c r="O124" s="294"/>
    </row>
    <row r="125" spans="14:15" s="236" customFormat="1" x14ac:dyDescent="0.25">
      <c r="N125" s="294"/>
      <c r="O125" s="294"/>
    </row>
    <row r="126" spans="14:15" s="236" customFormat="1" x14ac:dyDescent="0.25">
      <c r="N126" s="294"/>
      <c r="O126" s="294"/>
    </row>
    <row r="127" spans="14:15" s="236" customFormat="1" x14ac:dyDescent="0.25">
      <c r="N127" s="294"/>
      <c r="O127" s="294"/>
    </row>
    <row r="128" spans="14:15" s="236" customFormat="1" x14ac:dyDescent="0.25">
      <c r="N128" s="294"/>
      <c r="O128" s="294"/>
    </row>
    <row r="129" spans="14:15" s="236" customFormat="1" x14ac:dyDescent="0.25">
      <c r="N129" s="294"/>
      <c r="O129" s="294"/>
    </row>
    <row r="130" spans="14:15" s="236" customFormat="1" x14ac:dyDescent="0.25">
      <c r="N130" s="294"/>
      <c r="O130" s="294"/>
    </row>
    <row r="131" spans="14:15" s="236" customFormat="1" x14ac:dyDescent="0.25">
      <c r="N131" s="294"/>
      <c r="O131" s="294"/>
    </row>
    <row r="132" spans="14:15" s="236" customFormat="1" x14ac:dyDescent="0.25">
      <c r="N132" s="294"/>
      <c r="O132" s="294"/>
    </row>
    <row r="133" spans="14:15" s="236" customFormat="1" x14ac:dyDescent="0.25">
      <c r="N133" s="294"/>
      <c r="O133" s="294"/>
    </row>
    <row r="134" spans="14:15" s="236" customFormat="1" x14ac:dyDescent="0.25">
      <c r="N134" s="294"/>
      <c r="O134" s="294"/>
    </row>
    <row r="135" spans="14:15" s="236" customFormat="1" x14ac:dyDescent="0.25">
      <c r="N135" s="294"/>
      <c r="O135" s="294"/>
    </row>
    <row r="136" spans="14:15" s="236" customFormat="1" x14ac:dyDescent="0.25">
      <c r="N136" s="294"/>
      <c r="O136" s="294"/>
    </row>
    <row r="137" spans="14:15" s="236" customFormat="1" x14ac:dyDescent="0.25">
      <c r="N137" s="294"/>
      <c r="O137" s="294"/>
    </row>
    <row r="138" spans="14:15" s="236" customFormat="1" x14ac:dyDescent="0.25">
      <c r="N138" s="294"/>
      <c r="O138" s="294"/>
    </row>
    <row r="139" spans="14:15" s="236" customFormat="1" x14ac:dyDescent="0.25">
      <c r="N139" s="294"/>
      <c r="O139" s="294"/>
    </row>
    <row r="140" spans="14:15" s="236" customFormat="1" x14ac:dyDescent="0.25">
      <c r="N140" s="294"/>
      <c r="O140" s="294"/>
    </row>
    <row r="141" spans="14:15" s="236" customFormat="1" x14ac:dyDescent="0.25">
      <c r="N141" s="294"/>
      <c r="O141" s="294"/>
    </row>
    <row r="142" spans="14:15" s="236" customFormat="1" x14ac:dyDescent="0.25">
      <c r="N142" s="294"/>
      <c r="O142" s="294"/>
    </row>
    <row r="143" spans="14:15" s="236" customFormat="1" x14ac:dyDescent="0.25">
      <c r="N143" s="294"/>
      <c r="O143" s="294"/>
    </row>
    <row r="144" spans="14:15" s="236" customFormat="1" x14ac:dyDescent="0.25">
      <c r="N144" s="294"/>
      <c r="O144" s="294"/>
    </row>
    <row r="145" spans="14:15" s="236" customFormat="1" x14ac:dyDescent="0.25">
      <c r="N145" s="294"/>
      <c r="O145" s="294"/>
    </row>
    <row r="146" spans="14:15" s="236" customFormat="1" x14ac:dyDescent="0.25">
      <c r="N146" s="294"/>
      <c r="O146" s="294"/>
    </row>
    <row r="147" spans="14:15" s="236" customFormat="1" x14ac:dyDescent="0.25">
      <c r="N147" s="294"/>
      <c r="O147" s="294"/>
    </row>
    <row r="148" spans="14:15" s="236" customFormat="1" x14ac:dyDescent="0.25">
      <c r="N148" s="294"/>
      <c r="O148" s="294"/>
    </row>
    <row r="149" spans="14:15" s="236" customFormat="1" x14ac:dyDescent="0.25">
      <c r="N149" s="294"/>
      <c r="O149" s="294"/>
    </row>
    <row r="150" spans="14:15" s="236" customFormat="1" x14ac:dyDescent="0.25">
      <c r="N150" s="294"/>
      <c r="O150" s="294"/>
    </row>
    <row r="151" spans="14:15" s="236" customFormat="1" x14ac:dyDescent="0.25">
      <c r="N151" s="294"/>
      <c r="O151" s="294"/>
    </row>
    <row r="152" spans="14:15" s="236" customFormat="1" x14ac:dyDescent="0.25">
      <c r="N152" s="294"/>
      <c r="O152" s="294"/>
    </row>
    <row r="153" spans="14:15" s="236" customFormat="1" x14ac:dyDescent="0.25">
      <c r="N153" s="294"/>
      <c r="O153" s="294"/>
    </row>
    <row r="154" spans="14:15" s="236" customFormat="1" x14ac:dyDescent="0.25">
      <c r="N154" s="294"/>
      <c r="O154" s="294"/>
    </row>
    <row r="155" spans="14:15" s="236" customFormat="1" x14ac:dyDescent="0.25">
      <c r="N155" s="294"/>
      <c r="O155" s="294"/>
    </row>
    <row r="156" spans="14:15" s="236" customFormat="1" x14ac:dyDescent="0.25">
      <c r="N156" s="294"/>
      <c r="O156" s="294"/>
    </row>
    <row r="157" spans="14:15" s="236" customFormat="1" x14ac:dyDescent="0.25">
      <c r="N157" s="294"/>
      <c r="O157" s="294"/>
    </row>
    <row r="158" spans="14:15" s="236" customFormat="1" x14ac:dyDescent="0.25">
      <c r="N158" s="294"/>
      <c r="O158" s="294"/>
    </row>
    <row r="159" spans="14:15" s="236" customFormat="1" x14ac:dyDescent="0.25">
      <c r="N159" s="294"/>
      <c r="O159" s="294"/>
    </row>
    <row r="160" spans="14:15" s="236" customFormat="1" x14ac:dyDescent="0.25">
      <c r="N160" s="294"/>
      <c r="O160" s="294"/>
    </row>
    <row r="161" spans="14:15" s="236" customFormat="1" x14ac:dyDescent="0.25">
      <c r="N161" s="294"/>
      <c r="O161" s="294"/>
    </row>
    <row r="162" spans="14:15" s="236" customFormat="1" x14ac:dyDescent="0.25">
      <c r="N162" s="294"/>
      <c r="O162" s="294"/>
    </row>
    <row r="163" spans="14:15" s="236" customFormat="1" x14ac:dyDescent="0.25">
      <c r="N163" s="294"/>
      <c r="O163" s="294"/>
    </row>
    <row r="164" spans="14:15" s="236" customFormat="1" x14ac:dyDescent="0.25">
      <c r="N164" s="294"/>
      <c r="O164" s="294"/>
    </row>
    <row r="165" spans="14:15" s="236" customFormat="1" x14ac:dyDescent="0.25">
      <c r="N165" s="294"/>
      <c r="O165" s="294"/>
    </row>
    <row r="166" spans="14:15" s="236" customFormat="1" x14ac:dyDescent="0.25">
      <c r="N166" s="294"/>
      <c r="O166" s="294"/>
    </row>
    <row r="167" spans="14:15" s="236" customFormat="1" x14ac:dyDescent="0.25">
      <c r="N167" s="294"/>
      <c r="O167" s="294"/>
    </row>
    <row r="168" spans="14:15" s="236" customFormat="1" x14ac:dyDescent="0.25">
      <c r="N168" s="294"/>
      <c r="O168" s="294"/>
    </row>
    <row r="169" spans="14:15" s="236" customFormat="1" x14ac:dyDescent="0.25">
      <c r="N169" s="294"/>
      <c r="O169" s="294"/>
    </row>
    <row r="170" spans="14:15" s="236" customFormat="1" x14ac:dyDescent="0.25">
      <c r="N170" s="294"/>
      <c r="O170" s="294"/>
    </row>
    <row r="171" spans="14:15" s="236" customFormat="1" x14ac:dyDescent="0.25">
      <c r="N171" s="294"/>
      <c r="O171" s="294"/>
    </row>
    <row r="172" spans="14:15" s="236" customFormat="1" x14ac:dyDescent="0.25">
      <c r="N172" s="294"/>
      <c r="O172" s="294"/>
    </row>
    <row r="173" spans="14:15" s="236" customFormat="1" x14ac:dyDescent="0.25">
      <c r="N173" s="294"/>
      <c r="O173" s="294"/>
    </row>
    <row r="174" spans="14:15" s="236" customFormat="1" x14ac:dyDescent="0.25">
      <c r="N174" s="294"/>
      <c r="O174" s="294"/>
    </row>
    <row r="175" spans="14:15" s="236" customFormat="1" x14ac:dyDescent="0.25">
      <c r="N175" s="294"/>
      <c r="O175" s="294"/>
    </row>
    <row r="176" spans="14:15" s="236" customFormat="1" x14ac:dyDescent="0.25">
      <c r="N176" s="294"/>
      <c r="O176" s="294"/>
    </row>
    <row r="177" spans="14:15" s="236" customFormat="1" x14ac:dyDescent="0.25">
      <c r="N177" s="294"/>
      <c r="O177" s="294"/>
    </row>
    <row r="178" spans="14:15" s="236" customFormat="1" x14ac:dyDescent="0.25">
      <c r="N178" s="294"/>
      <c r="O178" s="294"/>
    </row>
    <row r="179" spans="14:15" s="236" customFormat="1" x14ac:dyDescent="0.25">
      <c r="N179" s="294"/>
      <c r="O179" s="294"/>
    </row>
    <row r="180" spans="14:15" s="236" customFormat="1" x14ac:dyDescent="0.25">
      <c r="N180" s="294"/>
      <c r="O180" s="294"/>
    </row>
    <row r="181" spans="14:15" s="236" customFormat="1" x14ac:dyDescent="0.25">
      <c r="N181" s="294"/>
      <c r="O181" s="294"/>
    </row>
    <row r="182" spans="14:15" s="236" customFormat="1" x14ac:dyDescent="0.25">
      <c r="N182" s="294"/>
      <c r="O182" s="294"/>
    </row>
    <row r="183" spans="14:15" s="236" customFormat="1" x14ac:dyDescent="0.25">
      <c r="N183" s="294"/>
      <c r="O183" s="294"/>
    </row>
    <row r="184" spans="14:15" s="236" customFormat="1" x14ac:dyDescent="0.25">
      <c r="N184" s="294"/>
      <c r="O184" s="294"/>
    </row>
    <row r="185" spans="14:15" s="236" customFormat="1" x14ac:dyDescent="0.25">
      <c r="N185" s="294"/>
      <c r="O185" s="294"/>
    </row>
    <row r="186" spans="14:15" s="236" customFormat="1" x14ac:dyDescent="0.25">
      <c r="N186" s="294"/>
      <c r="O186" s="294"/>
    </row>
    <row r="187" spans="14:15" s="236" customFormat="1" x14ac:dyDescent="0.25">
      <c r="N187" s="294"/>
      <c r="O187" s="294"/>
    </row>
    <row r="188" spans="14:15" s="236" customFormat="1" x14ac:dyDescent="0.25">
      <c r="N188" s="294"/>
      <c r="O188" s="294"/>
    </row>
    <row r="189" spans="14:15" s="236" customFormat="1" x14ac:dyDescent="0.25">
      <c r="N189" s="294"/>
      <c r="O189" s="294"/>
    </row>
    <row r="190" spans="14:15" s="236" customFormat="1" x14ac:dyDescent="0.25">
      <c r="N190" s="294"/>
      <c r="O190" s="294"/>
    </row>
    <row r="191" spans="14:15" s="236" customFormat="1" x14ac:dyDescent="0.25">
      <c r="N191" s="294"/>
      <c r="O191" s="294"/>
    </row>
    <row r="192" spans="14:15" s="236" customFormat="1" x14ac:dyDescent="0.25">
      <c r="N192" s="294"/>
      <c r="O192" s="294"/>
    </row>
    <row r="193" spans="14:15" s="236" customFormat="1" x14ac:dyDescent="0.25">
      <c r="N193" s="294"/>
      <c r="O193" s="294"/>
    </row>
    <row r="194" spans="14:15" s="236" customFormat="1" x14ac:dyDescent="0.25">
      <c r="N194" s="294"/>
      <c r="O194" s="294"/>
    </row>
    <row r="195" spans="14:15" s="236" customFormat="1" x14ac:dyDescent="0.25">
      <c r="N195" s="294"/>
      <c r="O195" s="294"/>
    </row>
    <row r="196" spans="14:15" s="236" customFormat="1" x14ac:dyDescent="0.25">
      <c r="N196" s="294"/>
      <c r="O196" s="294"/>
    </row>
    <row r="197" spans="14:15" s="236" customFormat="1" x14ac:dyDescent="0.25">
      <c r="N197" s="294"/>
      <c r="O197" s="294"/>
    </row>
    <row r="198" spans="14:15" s="236" customFormat="1" x14ac:dyDescent="0.25">
      <c r="N198" s="294"/>
      <c r="O198" s="294"/>
    </row>
    <row r="199" spans="14:15" s="236" customFormat="1" x14ac:dyDescent="0.25">
      <c r="N199" s="294"/>
      <c r="O199" s="294"/>
    </row>
    <row r="200" spans="14:15" s="236" customFormat="1" x14ac:dyDescent="0.25">
      <c r="N200" s="294"/>
      <c r="O200" s="294"/>
    </row>
    <row r="201" spans="14:15" s="236" customFormat="1" x14ac:dyDescent="0.25">
      <c r="N201" s="294"/>
      <c r="O201" s="294"/>
    </row>
    <row r="202" spans="14:15" s="236" customFormat="1" x14ac:dyDescent="0.25">
      <c r="N202" s="294"/>
      <c r="O202" s="294"/>
    </row>
    <row r="203" spans="14:15" s="236" customFormat="1" x14ac:dyDescent="0.25">
      <c r="N203" s="294"/>
      <c r="O203" s="294"/>
    </row>
    <row r="204" spans="14:15" s="236" customFormat="1" x14ac:dyDescent="0.25">
      <c r="N204" s="294"/>
      <c r="O204" s="294"/>
    </row>
    <row r="205" spans="14:15" s="236" customFormat="1" x14ac:dyDescent="0.25">
      <c r="N205" s="294"/>
      <c r="O205" s="294"/>
    </row>
    <row r="206" spans="14:15" s="236" customFormat="1" x14ac:dyDescent="0.25">
      <c r="N206" s="294"/>
      <c r="O206" s="294"/>
    </row>
    <row r="207" spans="14:15" s="236" customFormat="1" x14ac:dyDescent="0.25">
      <c r="N207" s="294"/>
      <c r="O207" s="294"/>
    </row>
    <row r="208" spans="14:15" s="236" customFormat="1" x14ac:dyDescent="0.25">
      <c r="N208" s="294"/>
      <c r="O208" s="294"/>
    </row>
    <row r="209" spans="14:15" s="236" customFormat="1" x14ac:dyDescent="0.25">
      <c r="N209" s="294"/>
      <c r="O209" s="294"/>
    </row>
    <row r="210" spans="14:15" s="236" customFormat="1" x14ac:dyDescent="0.25">
      <c r="N210" s="294"/>
      <c r="O210" s="294"/>
    </row>
    <row r="211" spans="14:15" s="236" customFormat="1" x14ac:dyDescent="0.25">
      <c r="N211" s="294"/>
      <c r="O211" s="294"/>
    </row>
    <row r="212" spans="14:15" s="236" customFormat="1" x14ac:dyDescent="0.25">
      <c r="N212" s="294"/>
      <c r="O212" s="294"/>
    </row>
    <row r="213" spans="14:15" s="236" customFormat="1" x14ac:dyDescent="0.25">
      <c r="N213" s="294"/>
      <c r="O213" s="294"/>
    </row>
    <row r="214" spans="14:15" s="236" customFormat="1" x14ac:dyDescent="0.25">
      <c r="N214" s="294"/>
      <c r="O214" s="294"/>
    </row>
    <row r="215" spans="14:15" s="236" customFormat="1" x14ac:dyDescent="0.25">
      <c r="N215" s="294"/>
      <c r="O215" s="294"/>
    </row>
    <row r="216" spans="14:15" s="236" customFormat="1" x14ac:dyDescent="0.25">
      <c r="N216" s="294"/>
      <c r="O216" s="294"/>
    </row>
    <row r="217" spans="14:15" s="236" customFormat="1" x14ac:dyDescent="0.25">
      <c r="N217" s="294"/>
      <c r="O217" s="294"/>
    </row>
    <row r="218" spans="14:15" s="236" customFormat="1" x14ac:dyDescent="0.25">
      <c r="N218" s="294"/>
      <c r="O218" s="294"/>
    </row>
    <row r="219" spans="14:15" s="236" customFormat="1" x14ac:dyDescent="0.25">
      <c r="N219" s="294"/>
      <c r="O219" s="294"/>
    </row>
    <row r="220" spans="14:15" s="236" customFormat="1" x14ac:dyDescent="0.25">
      <c r="N220" s="294"/>
      <c r="O220" s="294"/>
    </row>
    <row r="221" spans="14:15" s="236" customFormat="1" x14ac:dyDescent="0.25">
      <c r="N221" s="294"/>
      <c r="O221" s="294"/>
    </row>
    <row r="222" spans="14:15" s="236" customFormat="1" x14ac:dyDescent="0.25">
      <c r="N222" s="294"/>
      <c r="O222" s="294"/>
    </row>
    <row r="223" spans="14:15" s="236" customFormat="1" x14ac:dyDescent="0.25">
      <c r="N223" s="294"/>
      <c r="O223" s="294"/>
    </row>
    <row r="224" spans="14:15" s="236" customFormat="1" x14ac:dyDescent="0.25">
      <c r="N224" s="294"/>
      <c r="O224" s="294"/>
    </row>
    <row r="225" spans="14:15" s="236" customFormat="1" x14ac:dyDescent="0.25">
      <c r="N225" s="294"/>
      <c r="O225" s="294"/>
    </row>
    <row r="226" spans="14:15" s="236" customFormat="1" x14ac:dyDescent="0.25">
      <c r="N226" s="294"/>
      <c r="O226" s="294"/>
    </row>
    <row r="227" spans="14:15" s="236" customFormat="1" x14ac:dyDescent="0.25">
      <c r="N227" s="294"/>
      <c r="O227" s="294"/>
    </row>
    <row r="228" spans="14:15" s="236" customFormat="1" x14ac:dyDescent="0.25">
      <c r="N228" s="294"/>
      <c r="O228" s="294"/>
    </row>
    <row r="229" spans="14:15" s="236" customFormat="1" x14ac:dyDescent="0.25">
      <c r="N229" s="294"/>
      <c r="O229" s="294"/>
    </row>
    <row r="230" spans="14:15" s="236" customFormat="1" x14ac:dyDescent="0.25">
      <c r="N230" s="294"/>
      <c r="O230" s="294"/>
    </row>
    <row r="231" spans="14:15" s="236" customFormat="1" x14ac:dyDescent="0.25">
      <c r="N231" s="294"/>
      <c r="O231" s="294"/>
    </row>
    <row r="232" spans="14:15" s="236" customFormat="1" x14ac:dyDescent="0.25">
      <c r="N232" s="294"/>
      <c r="O232" s="294"/>
    </row>
    <row r="233" spans="14:15" s="236" customFormat="1" x14ac:dyDescent="0.25">
      <c r="N233" s="294"/>
      <c r="O233" s="294"/>
    </row>
    <row r="234" spans="14:15" s="236" customFormat="1" x14ac:dyDescent="0.25">
      <c r="N234" s="294"/>
      <c r="O234" s="294"/>
    </row>
    <row r="235" spans="14:15" s="236" customFormat="1" x14ac:dyDescent="0.25">
      <c r="N235" s="294"/>
      <c r="O235" s="294"/>
    </row>
    <row r="236" spans="14:15" s="236" customFormat="1" x14ac:dyDescent="0.25">
      <c r="N236" s="294"/>
      <c r="O236" s="294"/>
    </row>
    <row r="237" spans="14:15" s="236" customFormat="1" x14ac:dyDescent="0.25">
      <c r="N237" s="294"/>
      <c r="O237" s="294"/>
    </row>
    <row r="238" spans="14:15" s="236" customFormat="1" x14ac:dyDescent="0.25">
      <c r="N238" s="294"/>
      <c r="O238" s="294"/>
    </row>
    <row r="239" spans="14:15" s="236" customFormat="1" x14ac:dyDescent="0.25">
      <c r="N239" s="294"/>
      <c r="O239" s="294"/>
    </row>
    <row r="240" spans="14:15" s="236" customFormat="1" x14ac:dyDescent="0.25">
      <c r="N240" s="294"/>
      <c r="O240" s="294"/>
    </row>
    <row r="241" spans="14:15" s="236" customFormat="1" x14ac:dyDescent="0.25">
      <c r="N241" s="294"/>
      <c r="O241" s="294"/>
    </row>
    <row r="242" spans="14:15" s="236" customFormat="1" x14ac:dyDescent="0.25">
      <c r="N242" s="294"/>
      <c r="O242" s="294"/>
    </row>
    <row r="243" spans="14:15" s="236" customFormat="1" x14ac:dyDescent="0.25">
      <c r="N243" s="294"/>
      <c r="O243" s="294"/>
    </row>
    <row r="244" spans="14:15" s="236" customFormat="1" x14ac:dyDescent="0.25">
      <c r="N244" s="294"/>
      <c r="O244" s="294"/>
    </row>
    <row r="245" spans="14:15" s="236" customFormat="1" x14ac:dyDescent="0.25">
      <c r="N245" s="294"/>
      <c r="O245" s="294"/>
    </row>
    <row r="246" spans="14:15" s="236" customFormat="1" x14ac:dyDescent="0.25">
      <c r="N246" s="294"/>
      <c r="O246" s="294"/>
    </row>
    <row r="247" spans="14:15" s="236" customFormat="1" x14ac:dyDescent="0.25">
      <c r="N247" s="294"/>
      <c r="O247" s="294"/>
    </row>
    <row r="248" spans="14:15" s="236" customFormat="1" x14ac:dyDescent="0.25">
      <c r="N248" s="294"/>
      <c r="O248" s="294"/>
    </row>
    <row r="249" spans="14:15" s="236" customFormat="1" x14ac:dyDescent="0.25">
      <c r="N249" s="294"/>
      <c r="O249" s="294"/>
    </row>
    <row r="250" spans="14:15" s="236" customFormat="1" x14ac:dyDescent="0.25">
      <c r="N250" s="294"/>
      <c r="O250" s="294"/>
    </row>
    <row r="251" spans="14:15" s="236" customFormat="1" x14ac:dyDescent="0.25">
      <c r="N251" s="294"/>
      <c r="O251" s="294"/>
    </row>
    <row r="252" spans="14:15" s="236" customFormat="1" x14ac:dyDescent="0.25">
      <c r="N252" s="294"/>
      <c r="O252" s="294"/>
    </row>
    <row r="253" spans="14:15" s="236" customFormat="1" x14ac:dyDescent="0.25">
      <c r="N253" s="294"/>
      <c r="O253" s="294"/>
    </row>
    <row r="254" spans="14:15" s="236" customFormat="1" x14ac:dyDescent="0.25">
      <c r="N254" s="294"/>
      <c r="O254" s="294"/>
    </row>
    <row r="255" spans="14:15" s="236" customFormat="1" x14ac:dyDescent="0.25">
      <c r="N255" s="294"/>
      <c r="O255" s="294"/>
    </row>
    <row r="256" spans="14:15" s="236" customFormat="1" x14ac:dyDescent="0.25">
      <c r="N256" s="294"/>
      <c r="O256" s="294"/>
    </row>
    <row r="257" spans="14:15" s="236" customFormat="1" x14ac:dyDescent="0.25">
      <c r="N257" s="294"/>
      <c r="O257" s="294"/>
    </row>
    <row r="258" spans="14:15" s="236" customFormat="1" x14ac:dyDescent="0.25">
      <c r="N258" s="294"/>
      <c r="O258" s="294"/>
    </row>
    <row r="259" spans="14:15" s="236" customFormat="1" x14ac:dyDescent="0.25">
      <c r="N259" s="294"/>
      <c r="O259" s="294"/>
    </row>
    <row r="260" spans="14:15" s="236" customFormat="1" x14ac:dyDescent="0.25">
      <c r="N260" s="294"/>
      <c r="O260" s="294"/>
    </row>
    <row r="261" spans="14:15" s="236" customFormat="1" x14ac:dyDescent="0.25">
      <c r="N261" s="294"/>
      <c r="O261" s="294"/>
    </row>
    <row r="262" spans="14:15" s="236" customFormat="1" x14ac:dyDescent="0.25">
      <c r="N262" s="294"/>
      <c r="O262" s="294"/>
    </row>
    <row r="263" spans="14:15" s="236" customFormat="1" x14ac:dyDescent="0.25">
      <c r="N263" s="294"/>
      <c r="O263" s="294"/>
    </row>
    <row r="264" spans="14:15" s="236" customFormat="1" x14ac:dyDescent="0.25">
      <c r="N264" s="294"/>
      <c r="O264" s="294"/>
    </row>
    <row r="265" spans="14:15" s="236" customFormat="1" x14ac:dyDescent="0.25">
      <c r="N265" s="294"/>
      <c r="O265" s="294"/>
    </row>
    <row r="266" spans="14:15" s="236" customFormat="1" x14ac:dyDescent="0.25">
      <c r="N266" s="294"/>
      <c r="O266" s="294"/>
    </row>
    <row r="267" spans="14:15" s="236" customFormat="1" x14ac:dyDescent="0.25">
      <c r="N267" s="294"/>
      <c r="O267" s="294"/>
    </row>
    <row r="268" spans="14:15" s="236" customFormat="1" x14ac:dyDescent="0.25">
      <c r="N268" s="294"/>
      <c r="O268" s="294"/>
    </row>
    <row r="269" spans="14:15" s="236" customFormat="1" x14ac:dyDescent="0.25">
      <c r="N269" s="294"/>
      <c r="O269" s="294"/>
    </row>
    <row r="270" spans="14:15" s="236" customFormat="1" x14ac:dyDescent="0.25">
      <c r="N270" s="294"/>
      <c r="O270" s="294"/>
    </row>
    <row r="271" spans="14:15" s="236" customFormat="1" x14ac:dyDescent="0.25">
      <c r="N271" s="294"/>
      <c r="O271" s="294"/>
    </row>
    <row r="272" spans="14:15" s="236" customFormat="1" x14ac:dyDescent="0.25">
      <c r="N272" s="294"/>
      <c r="O272" s="294"/>
    </row>
    <row r="273" spans="14:15" s="236" customFormat="1" x14ac:dyDescent="0.25">
      <c r="N273" s="294"/>
      <c r="O273" s="294"/>
    </row>
    <row r="274" spans="14:15" s="236" customFormat="1" x14ac:dyDescent="0.25">
      <c r="N274" s="294"/>
      <c r="O274" s="294"/>
    </row>
    <row r="275" spans="14:15" s="236" customFormat="1" x14ac:dyDescent="0.25">
      <c r="N275" s="294"/>
      <c r="O275" s="294"/>
    </row>
    <row r="276" spans="14:15" s="236" customFormat="1" x14ac:dyDescent="0.25">
      <c r="N276" s="294"/>
      <c r="O276" s="294"/>
    </row>
    <row r="277" spans="14:15" s="236" customFormat="1" x14ac:dyDescent="0.25">
      <c r="N277" s="294"/>
      <c r="O277" s="294"/>
    </row>
    <row r="278" spans="14:15" s="236" customFormat="1" x14ac:dyDescent="0.25">
      <c r="N278" s="294"/>
      <c r="O278" s="294"/>
    </row>
    <row r="279" spans="14:15" s="236" customFormat="1" x14ac:dyDescent="0.25">
      <c r="N279" s="294"/>
      <c r="O279" s="294"/>
    </row>
    <row r="280" spans="14:15" s="236" customFormat="1" x14ac:dyDescent="0.25">
      <c r="N280" s="294"/>
      <c r="O280" s="294"/>
    </row>
    <row r="281" spans="14:15" s="236" customFormat="1" x14ac:dyDescent="0.25">
      <c r="N281" s="294"/>
      <c r="O281" s="294"/>
    </row>
    <row r="282" spans="14:15" s="236" customFormat="1" x14ac:dyDescent="0.25">
      <c r="N282" s="294"/>
      <c r="O282" s="294"/>
    </row>
    <row r="283" spans="14:15" s="236" customFormat="1" x14ac:dyDescent="0.25">
      <c r="N283" s="294"/>
      <c r="O283" s="294"/>
    </row>
    <row r="284" spans="14:15" s="236" customFormat="1" x14ac:dyDescent="0.25">
      <c r="N284" s="294"/>
      <c r="O284" s="294"/>
    </row>
    <row r="285" spans="14:15" s="236" customFormat="1" x14ac:dyDescent="0.25">
      <c r="N285" s="294"/>
      <c r="O285" s="294"/>
    </row>
    <row r="286" spans="14:15" s="236" customFormat="1" x14ac:dyDescent="0.25">
      <c r="N286" s="294"/>
      <c r="O286" s="294"/>
    </row>
    <row r="287" spans="14:15" s="236" customFormat="1" x14ac:dyDescent="0.25">
      <c r="N287" s="294"/>
      <c r="O287" s="294"/>
    </row>
    <row r="288" spans="14:15" s="236" customFormat="1" x14ac:dyDescent="0.25">
      <c r="N288" s="294"/>
      <c r="O288" s="294"/>
    </row>
    <row r="289" spans="14:15" s="236" customFormat="1" x14ac:dyDescent="0.25">
      <c r="N289" s="294"/>
      <c r="O289" s="294"/>
    </row>
    <row r="290" spans="14:15" s="236" customFormat="1" x14ac:dyDescent="0.25">
      <c r="N290" s="294"/>
      <c r="O290" s="294"/>
    </row>
    <row r="291" spans="14:15" s="236" customFormat="1" x14ac:dyDescent="0.25">
      <c r="N291" s="294"/>
      <c r="O291" s="294"/>
    </row>
    <row r="292" spans="14:15" s="236" customFormat="1" x14ac:dyDescent="0.25">
      <c r="N292" s="294"/>
      <c r="O292" s="294"/>
    </row>
    <row r="293" spans="14:15" s="236" customFormat="1" x14ac:dyDescent="0.25">
      <c r="N293" s="294"/>
      <c r="O293" s="294"/>
    </row>
    <row r="294" spans="14:15" s="236" customFormat="1" x14ac:dyDescent="0.25">
      <c r="N294" s="294"/>
      <c r="O294" s="294"/>
    </row>
    <row r="295" spans="14:15" s="236" customFormat="1" x14ac:dyDescent="0.25">
      <c r="N295" s="294"/>
      <c r="O295" s="294"/>
    </row>
    <row r="296" spans="14:15" s="236" customFormat="1" x14ac:dyDescent="0.25">
      <c r="N296" s="294"/>
      <c r="O296" s="294"/>
    </row>
    <row r="297" spans="14:15" s="236" customFormat="1" x14ac:dyDescent="0.25">
      <c r="N297" s="294"/>
      <c r="O297" s="294"/>
    </row>
    <row r="298" spans="14:15" s="236" customFormat="1" x14ac:dyDescent="0.25">
      <c r="N298" s="294"/>
      <c r="O298" s="294"/>
    </row>
    <row r="299" spans="14:15" s="236" customFormat="1" x14ac:dyDescent="0.25">
      <c r="N299" s="294"/>
      <c r="O299" s="294"/>
    </row>
    <row r="300" spans="14:15" s="236" customFormat="1" x14ac:dyDescent="0.25">
      <c r="N300" s="294"/>
      <c r="O300" s="294"/>
    </row>
    <row r="301" spans="14:15" s="236" customFormat="1" x14ac:dyDescent="0.25">
      <c r="N301" s="294"/>
      <c r="O301" s="294"/>
    </row>
    <row r="302" spans="14:15" s="236" customFormat="1" x14ac:dyDescent="0.25">
      <c r="N302" s="294"/>
      <c r="O302" s="294"/>
    </row>
  </sheetData>
  <sheetProtection algorithmName="SHA-512" hashValue="NJqIsltcrXBdd/3WU6jyKqDeE5HLFhFYoJUngUXX56uZb8i5lYsDrdLX6hRmemeQ4x3oNXppE7C/os8OvFHUoA==" saltValue="XbRRhvAF1+DHi7KQEouOQA==" spinCount="100000" sheet="1" autoFilter="0"/>
  <mergeCells count="18">
    <mergeCell ref="B27:H27"/>
    <mergeCell ref="E22:G22"/>
    <mergeCell ref="B23:C23"/>
    <mergeCell ref="E23:G25"/>
    <mergeCell ref="B24:C24"/>
    <mergeCell ref="B25:C25"/>
    <mergeCell ref="B22:C22"/>
    <mergeCell ref="B16:C16"/>
    <mergeCell ref="B17:C17"/>
    <mergeCell ref="B19:C19"/>
    <mergeCell ref="B20:C20"/>
    <mergeCell ref="B21:C21"/>
    <mergeCell ref="B18:C18"/>
    <mergeCell ref="C14:E14"/>
    <mergeCell ref="B2:B4"/>
    <mergeCell ref="B11:D12"/>
    <mergeCell ref="F11:F12"/>
    <mergeCell ref="B13:D13"/>
  </mergeCells>
  <hyperlinks>
    <hyperlink ref="B2" r:id="rId1" display="mailto:schoolfinanceteam@derby.gov.uk" xr:uid="{24C08BD5-A2B7-4E9B-9B0E-23005D30E659}"/>
  </hyperlinks>
  <pageMargins left="0.7" right="0.7" top="0.75" bottom="0.75" header="0.3" footer="0.3"/>
  <pageSetup paperSize="9"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0761D1F-9396-4E57-893D-A8E6790E731B}">
          <x14:formula1>
            <xm:f>'PVI Provider Lookup'!$A$6:$A$172</xm:f>
          </x14:formula1>
          <xm:sqref>B13:D13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8D077-A565-46A8-BCCE-43F84FCAE7FA}">
  <sheetPr codeName="Sheet10">
    <tabColor rgb="FF7030A0"/>
  </sheetPr>
  <dimension ref="A1:V38"/>
  <sheetViews>
    <sheetView zoomScaleNormal="100" workbookViewId="0">
      <selection activeCell="M6" sqref="M6:N6"/>
    </sheetView>
  </sheetViews>
  <sheetFormatPr defaultColWidth="9.1796875" defaultRowHeight="12.5" x14ac:dyDescent="0.25"/>
  <cols>
    <col min="1" max="1" width="14.1796875" style="2" customWidth="1"/>
    <col min="2" max="2" width="14.1796875" style="8" customWidth="1"/>
    <col min="3" max="3" width="45.7265625" style="2" customWidth="1"/>
    <col min="4" max="4" width="4.453125" style="2" customWidth="1"/>
    <col min="5" max="5" width="9.54296875" style="2" bestFit="1" customWidth="1"/>
    <col min="6" max="6" width="12.26953125" style="2" customWidth="1"/>
    <col min="7" max="7" width="13.1796875" style="8" customWidth="1"/>
    <col min="8" max="8" width="13.54296875" style="8" customWidth="1"/>
    <col min="9" max="9" width="12.26953125" style="8" customWidth="1"/>
    <col min="10" max="10" width="11.26953125" style="8" customWidth="1"/>
    <col min="11" max="11" width="11.1796875" style="8" bestFit="1" customWidth="1"/>
    <col min="12" max="12" width="11" style="8" customWidth="1"/>
    <col min="13" max="13" width="11.1796875" style="8" bestFit="1" customWidth="1"/>
    <col min="14" max="14" width="10.1796875" style="8" bestFit="1" customWidth="1"/>
    <col min="15" max="15" width="11.7265625" style="8" customWidth="1"/>
    <col min="16" max="16" width="11.54296875" style="8" customWidth="1"/>
    <col min="17" max="17" width="14.453125" style="8" customWidth="1"/>
    <col min="18" max="18" width="11.1796875" style="8" bestFit="1" customWidth="1"/>
    <col min="19" max="19" width="11.81640625" style="8" customWidth="1"/>
    <col min="20" max="20" width="12.81640625" style="8" customWidth="1"/>
    <col min="21" max="21" width="16.7265625" style="2" customWidth="1"/>
    <col min="22" max="22" width="3.54296875" style="2" customWidth="1"/>
    <col min="23" max="16384" width="9.1796875" style="2"/>
  </cols>
  <sheetData>
    <row r="1" spans="1:22" x14ac:dyDescent="0.25">
      <c r="C1" s="44"/>
      <c r="D1" s="44"/>
      <c r="E1" s="44"/>
      <c r="F1" s="44"/>
      <c r="G1" s="44"/>
      <c r="H1" s="44"/>
      <c r="I1" s="44"/>
      <c r="J1" s="44"/>
      <c r="K1" s="44"/>
      <c r="L1" s="44"/>
      <c r="M1" s="44"/>
      <c r="N1" s="44"/>
      <c r="O1" s="45"/>
      <c r="P1" s="45"/>
    </row>
    <row r="6" spans="1:22" ht="36" customHeight="1" x14ac:dyDescent="0.25">
      <c r="C6" s="9"/>
      <c r="D6" s="9"/>
      <c r="E6" s="9"/>
      <c r="F6" s="9"/>
      <c r="G6" s="754" t="s">
        <v>583</v>
      </c>
      <c r="H6" s="754"/>
      <c r="I6" s="754" t="s">
        <v>245</v>
      </c>
      <c r="J6" s="754"/>
      <c r="K6" s="755" t="s">
        <v>584</v>
      </c>
      <c r="L6" s="755"/>
      <c r="M6" s="755" t="s">
        <v>585</v>
      </c>
      <c r="N6" s="755"/>
      <c r="O6" s="755" t="s">
        <v>586</v>
      </c>
      <c r="P6" s="755"/>
      <c r="Q6" s="754" t="s">
        <v>587</v>
      </c>
      <c r="R6" s="754"/>
      <c r="S6" s="754" t="s">
        <v>588</v>
      </c>
      <c r="T6" s="754"/>
    </row>
    <row r="7" spans="1:22" ht="13" x14ac:dyDescent="0.25">
      <c r="C7" s="9"/>
      <c r="D7" s="9"/>
      <c r="E7" s="34" t="s">
        <v>267</v>
      </c>
      <c r="F7" s="34" t="s">
        <v>199</v>
      </c>
      <c r="G7" s="33" t="s">
        <v>267</v>
      </c>
      <c r="H7" s="33" t="s">
        <v>199</v>
      </c>
      <c r="I7" s="33" t="s">
        <v>267</v>
      </c>
      <c r="J7" s="33" t="s">
        <v>199</v>
      </c>
      <c r="K7" s="33" t="s">
        <v>267</v>
      </c>
      <c r="L7" s="33" t="s">
        <v>199</v>
      </c>
      <c r="M7" s="33" t="s">
        <v>267</v>
      </c>
      <c r="N7" s="33" t="s">
        <v>199</v>
      </c>
      <c r="O7" s="33" t="s">
        <v>267</v>
      </c>
      <c r="P7" s="33" t="s">
        <v>199</v>
      </c>
      <c r="Q7" s="33" t="s">
        <v>267</v>
      </c>
      <c r="R7" s="33" t="s">
        <v>199</v>
      </c>
      <c r="S7" s="33" t="s">
        <v>267</v>
      </c>
      <c r="T7" s="33" t="s">
        <v>199</v>
      </c>
      <c r="U7" s="33" t="s">
        <v>197</v>
      </c>
    </row>
    <row r="8" spans="1:22" ht="13" x14ac:dyDescent="0.25">
      <c r="C8" s="752" t="s">
        <v>589</v>
      </c>
      <c r="D8" s="753"/>
      <c r="E8" s="39">
        <v>7005</v>
      </c>
      <c r="F8" s="39"/>
      <c r="G8" s="33">
        <v>6.44</v>
      </c>
      <c r="H8" s="33"/>
      <c r="I8" s="33">
        <v>18.12</v>
      </c>
      <c r="J8" s="33"/>
      <c r="K8" s="33">
        <v>25.88</v>
      </c>
      <c r="L8" s="33"/>
      <c r="M8" s="33">
        <v>16.11</v>
      </c>
      <c r="N8" s="33"/>
      <c r="O8" s="33">
        <f>4.36+6.82</f>
        <v>11.18</v>
      </c>
      <c r="P8" s="33"/>
      <c r="Q8" s="33">
        <f>SUM(G8:P8)</f>
        <v>77.72999999999999</v>
      </c>
      <c r="R8" s="33"/>
      <c r="S8" s="36">
        <f>E8*Q8</f>
        <v>544498.64999999991</v>
      </c>
      <c r="T8" s="36"/>
      <c r="U8" s="232">
        <f>S8</f>
        <v>544498.64999999991</v>
      </c>
    </row>
    <row r="9" spans="1:22" ht="13" x14ac:dyDescent="0.25">
      <c r="C9" s="752" t="s">
        <v>590</v>
      </c>
      <c r="D9" s="753"/>
      <c r="E9" s="39"/>
      <c r="F9" s="39">
        <v>3710</v>
      </c>
      <c r="G9" s="33"/>
      <c r="H9" s="33">
        <v>6.44</v>
      </c>
      <c r="I9" s="33"/>
      <c r="J9" s="33">
        <v>18.12</v>
      </c>
      <c r="K9" s="33"/>
      <c r="L9" s="33">
        <v>25.88</v>
      </c>
      <c r="M9" s="33"/>
      <c r="N9" s="33">
        <v>16.11</v>
      </c>
      <c r="O9" s="33"/>
      <c r="P9" s="33">
        <v>0</v>
      </c>
      <c r="Q9" s="33"/>
      <c r="R9" s="33">
        <f>SUM(G9:P9)</f>
        <v>66.55</v>
      </c>
      <c r="S9" s="36"/>
      <c r="T9" s="36">
        <f>F9*R9</f>
        <v>246900.5</v>
      </c>
      <c r="U9" s="232">
        <f>T9</f>
        <v>246900.5</v>
      </c>
    </row>
    <row r="10" spans="1:22" x14ac:dyDescent="0.25">
      <c r="E10" s="13"/>
      <c r="F10" s="13"/>
    </row>
    <row r="11" spans="1:22" x14ac:dyDescent="0.25">
      <c r="E11" s="13"/>
      <c r="F11" s="13"/>
    </row>
    <row r="12" spans="1:22" ht="14.5" x14ac:dyDescent="0.35">
      <c r="A12" s="543" t="s">
        <v>1203</v>
      </c>
      <c r="B12" s="32"/>
      <c r="C12" s="34" t="s">
        <v>754</v>
      </c>
      <c r="D12" s="34"/>
      <c r="E12" s="35">
        <f t="shared" ref="E12:F12" si="0">SUM(E13:E38)</f>
        <v>7005</v>
      </c>
      <c r="F12" s="35">
        <f t="shared" si="0"/>
        <v>3710.58</v>
      </c>
      <c r="G12" s="36">
        <f>SUM(G13:G38)</f>
        <v>45112.2</v>
      </c>
      <c r="H12" s="36">
        <f>SUM(H13:H38)</f>
        <v>23896.135200000001</v>
      </c>
      <c r="I12" s="36">
        <f t="shared" ref="I12:U12" si="1">SUM(I13:I38)</f>
        <v>126930.6</v>
      </c>
      <c r="J12" s="36">
        <f t="shared" si="1"/>
        <v>67235.709600000002</v>
      </c>
      <c r="K12" s="36">
        <f t="shared" si="1"/>
        <v>181289.40000000002</v>
      </c>
      <c r="L12" s="36">
        <f t="shared" si="1"/>
        <v>96029.810399999988</v>
      </c>
      <c r="M12" s="36">
        <f t="shared" si="1"/>
        <v>112850.54999999997</v>
      </c>
      <c r="N12" s="36">
        <f t="shared" si="1"/>
        <v>59777.443800000001</v>
      </c>
      <c r="O12" s="36">
        <f t="shared" si="1"/>
        <v>78315.89999999998</v>
      </c>
      <c r="P12" s="36">
        <f t="shared" si="1"/>
        <v>0</v>
      </c>
      <c r="Q12" s="32"/>
      <c r="R12" s="32"/>
      <c r="S12" s="36">
        <f>SUM(S13:S38)</f>
        <v>544498.64999999991</v>
      </c>
      <c r="T12" s="36">
        <f>SUM(T13:T38)</f>
        <v>246939.09899999999</v>
      </c>
      <c r="U12" s="36">
        <f t="shared" si="1"/>
        <v>791437.74899999984</v>
      </c>
      <c r="V12" s="9"/>
    </row>
    <row r="13" spans="1:22" x14ac:dyDescent="0.25">
      <c r="A13" s="32">
        <v>131401</v>
      </c>
      <c r="B13" s="32">
        <v>8312001</v>
      </c>
      <c r="C13" s="31" t="s">
        <v>62</v>
      </c>
      <c r="D13" s="31" t="s">
        <v>591</v>
      </c>
      <c r="E13" s="37">
        <f>VLOOKUP(B13,'ISB new'!B:G,5,FALSE)</f>
        <v>336</v>
      </c>
      <c r="F13" s="37">
        <f>VLOOKUP(B13,'ISB new'!B:G,6,FALSE)</f>
        <v>0</v>
      </c>
      <c r="G13" s="38">
        <f>E13*$G$8</f>
        <v>2163.84</v>
      </c>
      <c r="H13" s="38">
        <f>F13*$H$9</f>
        <v>0</v>
      </c>
      <c r="I13" s="38">
        <f>E13*$I$8</f>
        <v>6088.3200000000006</v>
      </c>
      <c r="J13" s="38">
        <f>F13*$J$9</f>
        <v>0</v>
      </c>
      <c r="K13" s="38">
        <f>E13*$K$8</f>
        <v>8695.68</v>
      </c>
      <c r="L13" s="38">
        <f>F13*$L$9</f>
        <v>0</v>
      </c>
      <c r="M13" s="38">
        <f>E13*$M$8</f>
        <v>5412.96</v>
      </c>
      <c r="N13" s="38">
        <f>F13*$N$9</f>
        <v>0</v>
      </c>
      <c r="O13" s="38">
        <f>E13*$O$8</f>
        <v>3756.48</v>
      </c>
      <c r="P13" s="38">
        <f>F13*$P$9</f>
        <v>0</v>
      </c>
      <c r="Q13" s="32"/>
      <c r="R13" s="32"/>
      <c r="S13" s="38">
        <f t="shared" ref="S13:S38" si="2">E13*$Q$8</f>
        <v>26117.279999999995</v>
      </c>
      <c r="T13" s="38">
        <f t="shared" ref="T13:T38" si="3">F13*$R$9</f>
        <v>0</v>
      </c>
      <c r="U13" s="38">
        <f>SUM(S13:T13)</f>
        <v>26117.279999999995</v>
      </c>
    </row>
    <row r="14" spans="1:22" x14ac:dyDescent="0.25">
      <c r="A14" s="32">
        <v>131799</v>
      </c>
      <c r="B14" s="32">
        <v>8312003</v>
      </c>
      <c r="C14" s="31" t="s">
        <v>63</v>
      </c>
      <c r="D14" s="31" t="s">
        <v>591</v>
      </c>
      <c r="E14" s="37">
        <f>VLOOKUP(B14,'ISB new'!B:G,5,FALSE)</f>
        <v>197</v>
      </c>
      <c r="F14" s="37">
        <f>VLOOKUP(B14,'ISB new'!B:G,6,FALSE)</f>
        <v>0</v>
      </c>
      <c r="G14" s="38">
        <f t="shared" ref="G14:G38" si="4">E14*$G$8</f>
        <v>1268.68</v>
      </c>
      <c r="H14" s="38">
        <f t="shared" ref="H14:H38" si="5">F14*$H$9</f>
        <v>0</v>
      </c>
      <c r="I14" s="38">
        <f t="shared" ref="I14:I38" si="6">E14*$I$8</f>
        <v>3569.6400000000003</v>
      </c>
      <c r="J14" s="38">
        <f t="shared" ref="J14:J38" si="7">F14*$J$9</f>
        <v>0</v>
      </c>
      <c r="K14" s="38">
        <f t="shared" ref="K14:K38" si="8">E14*$K$8</f>
        <v>5098.3599999999997</v>
      </c>
      <c r="L14" s="38">
        <f t="shared" ref="L14:L38" si="9">F14*$L$9</f>
        <v>0</v>
      </c>
      <c r="M14" s="38">
        <f t="shared" ref="M14:M38" si="10">E14*$M$8</f>
        <v>3173.67</v>
      </c>
      <c r="N14" s="38">
        <f t="shared" ref="N14:N38" si="11">F14*$N$9</f>
        <v>0</v>
      </c>
      <c r="O14" s="38">
        <f t="shared" ref="O14:O38" si="12">E14*$O$8</f>
        <v>2202.46</v>
      </c>
      <c r="P14" s="38">
        <f t="shared" ref="P14:P38" si="13">F14*$P$9</f>
        <v>0</v>
      </c>
      <c r="Q14" s="32"/>
      <c r="R14" s="32"/>
      <c r="S14" s="38">
        <f t="shared" si="2"/>
        <v>15312.809999999998</v>
      </c>
      <c r="T14" s="38">
        <f t="shared" si="3"/>
        <v>0</v>
      </c>
      <c r="U14" s="38">
        <f t="shared" ref="U14:U38" si="14">SUM(S14:T14)</f>
        <v>15312.809999999998</v>
      </c>
    </row>
    <row r="15" spans="1:22" x14ac:dyDescent="0.25">
      <c r="A15" s="32">
        <v>131685</v>
      </c>
      <c r="B15" s="32">
        <v>8312005</v>
      </c>
      <c r="C15" s="31" t="s">
        <v>64</v>
      </c>
      <c r="D15" s="31" t="s">
        <v>591</v>
      </c>
      <c r="E15" s="37">
        <f>VLOOKUP(B15,'ISB new'!B:G,5,FALSE)</f>
        <v>311</v>
      </c>
      <c r="F15" s="37">
        <f>VLOOKUP(B15,'ISB new'!B:G,6,FALSE)</f>
        <v>0</v>
      </c>
      <c r="G15" s="38">
        <f t="shared" si="4"/>
        <v>2002.8400000000001</v>
      </c>
      <c r="H15" s="38">
        <f t="shared" si="5"/>
        <v>0</v>
      </c>
      <c r="I15" s="38">
        <f t="shared" si="6"/>
        <v>5635.3200000000006</v>
      </c>
      <c r="J15" s="38">
        <f t="shared" si="7"/>
        <v>0</v>
      </c>
      <c r="K15" s="38">
        <f t="shared" si="8"/>
        <v>8048.6799999999994</v>
      </c>
      <c r="L15" s="38">
        <f t="shared" si="9"/>
        <v>0</v>
      </c>
      <c r="M15" s="38">
        <f t="shared" si="10"/>
        <v>5010.21</v>
      </c>
      <c r="N15" s="38">
        <f t="shared" si="11"/>
        <v>0</v>
      </c>
      <c r="O15" s="38">
        <f t="shared" si="12"/>
        <v>3476.98</v>
      </c>
      <c r="P15" s="38">
        <f t="shared" si="13"/>
        <v>0</v>
      </c>
      <c r="Q15" s="32"/>
      <c r="R15" s="32"/>
      <c r="S15" s="38">
        <f t="shared" si="2"/>
        <v>24174.029999999995</v>
      </c>
      <c r="T15" s="38">
        <f t="shared" si="3"/>
        <v>0</v>
      </c>
      <c r="U15" s="38">
        <f t="shared" si="14"/>
        <v>24174.029999999995</v>
      </c>
    </row>
    <row r="16" spans="1:22" x14ac:dyDescent="0.25">
      <c r="A16" s="32">
        <v>112717</v>
      </c>
      <c r="B16" s="32">
        <v>8312405</v>
      </c>
      <c r="C16" s="31" t="s">
        <v>65</v>
      </c>
      <c r="D16" s="31" t="s">
        <v>591</v>
      </c>
      <c r="E16" s="37">
        <f>VLOOKUP(B16,'ISB new'!B:G,5,FALSE)</f>
        <v>205</v>
      </c>
      <c r="F16" s="37">
        <f>VLOOKUP(B16,'ISB new'!B:G,6,FALSE)</f>
        <v>0</v>
      </c>
      <c r="G16" s="38">
        <f t="shared" si="4"/>
        <v>1320.2</v>
      </c>
      <c r="H16" s="38">
        <f t="shared" si="5"/>
        <v>0</v>
      </c>
      <c r="I16" s="38">
        <f t="shared" si="6"/>
        <v>3714.6000000000004</v>
      </c>
      <c r="J16" s="38">
        <f t="shared" si="7"/>
        <v>0</v>
      </c>
      <c r="K16" s="38">
        <f t="shared" si="8"/>
        <v>5305.4</v>
      </c>
      <c r="L16" s="38">
        <f t="shared" si="9"/>
        <v>0</v>
      </c>
      <c r="M16" s="38">
        <f t="shared" si="10"/>
        <v>3302.5499999999997</v>
      </c>
      <c r="N16" s="38">
        <f t="shared" si="11"/>
        <v>0</v>
      </c>
      <c r="O16" s="38">
        <f t="shared" si="12"/>
        <v>2291.9</v>
      </c>
      <c r="P16" s="38">
        <f t="shared" si="13"/>
        <v>0</v>
      </c>
      <c r="Q16" s="32"/>
      <c r="R16" s="32"/>
      <c r="S16" s="38">
        <f t="shared" si="2"/>
        <v>15934.649999999998</v>
      </c>
      <c r="T16" s="38">
        <f t="shared" si="3"/>
        <v>0</v>
      </c>
      <c r="U16" s="38">
        <f t="shared" si="14"/>
        <v>15934.649999999998</v>
      </c>
    </row>
    <row r="17" spans="1:21" x14ac:dyDescent="0.25">
      <c r="A17" s="32">
        <v>112720</v>
      </c>
      <c r="B17" s="32">
        <v>8312409</v>
      </c>
      <c r="C17" s="31" t="s">
        <v>66</v>
      </c>
      <c r="D17" s="31" t="s">
        <v>591</v>
      </c>
      <c r="E17" s="37">
        <f>VLOOKUP(B17,'ISB new'!B:G,5,FALSE)</f>
        <v>549</v>
      </c>
      <c r="F17" s="37">
        <f>VLOOKUP(B17,'ISB new'!B:G,6,FALSE)</f>
        <v>0</v>
      </c>
      <c r="G17" s="38">
        <f t="shared" si="4"/>
        <v>3535.5600000000004</v>
      </c>
      <c r="H17" s="38">
        <f t="shared" si="5"/>
        <v>0</v>
      </c>
      <c r="I17" s="38">
        <f t="shared" si="6"/>
        <v>9947.880000000001</v>
      </c>
      <c r="J17" s="38">
        <f t="shared" si="7"/>
        <v>0</v>
      </c>
      <c r="K17" s="38">
        <f t="shared" si="8"/>
        <v>14208.119999999999</v>
      </c>
      <c r="L17" s="38">
        <f t="shared" si="9"/>
        <v>0</v>
      </c>
      <c r="M17" s="38">
        <f t="shared" si="10"/>
        <v>8844.39</v>
      </c>
      <c r="N17" s="38">
        <f t="shared" si="11"/>
        <v>0</v>
      </c>
      <c r="O17" s="38">
        <f t="shared" si="12"/>
        <v>6137.82</v>
      </c>
      <c r="P17" s="38">
        <f t="shared" si="13"/>
        <v>0</v>
      </c>
      <c r="Q17" s="32"/>
      <c r="R17" s="32"/>
      <c r="S17" s="38">
        <f t="shared" si="2"/>
        <v>42673.77</v>
      </c>
      <c r="T17" s="38">
        <f t="shared" si="3"/>
        <v>0</v>
      </c>
      <c r="U17" s="38">
        <f t="shared" si="14"/>
        <v>42673.77</v>
      </c>
    </row>
    <row r="18" spans="1:21" x14ac:dyDescent="0.25">
      <c r="A18" s="32">
        <v>112728</v>
      </c>
      <c r="B18" s="32">
        <v>8312424</v>
      </c>
      <c r="C18" s="31" t="s">
        <v>67</v>
      </c>
      <c r="D18" s="31" t="s">
        <v>591</v>
      </c>
      <c r="E18" s="37">
        <f>VLOOKUP(B18,'ISB new'!B:G,5,FALSE)</f>
        <v>247</v>
      </c>
      <c r="F18" s="37">
        <f>VLOOKUP(B18,'ISB new'!B:G,6,FALSE)</f>
        <v>0</v>
      </c>
      <c r="G18" s="38">
        <f t="shared" si="4"/>
        <v>1590.68</v>
      </c>
      <c r="H18" s="38">
        <f t="shared" si="5"/>
        <v>0</v>
      </c>
      <c r="I18" s="38">
        <f t="shared" si="6"/>
        <v>4475.6400000000003</v>
      </c>
      <c r="J18" s="38">
        <f t="shared" si="7"/>
        <v>0</v>
      </c>
      <c r="K18" s="38">
        <f t="shared" si="8"/>
        <v>6392.36</v>
      </c>
      <c r="L18" s="38">
        <f t="shared" si="9"/>
        <v>0</v>
      </c>
      <c r="M18" s="38">
        <f t="shared" si="10"/>
        <v>3979.17</v>
      </c>
      <c r="N18" s="38">
        <f t="shared" si="11"/>
        <v>0</v>
      </c>
      <c r="O18" s="38">
        <f t="shared" si="12"/>
        <v>2761.46</v>
      </c>
      <c r="P18" s="38">
        <f t="shared" si="13"/>
        <v>0</v>
      </c>
      <c r="Q18" s="32"/>
      <c r="R18" s="32"/>
      <c r="S18" s="38">
        <f t="shared" si="2"/>
        <v>19199.309999999998</v>
      </c>
      <c r="T18" s="38">
        <f t="shared" si="3"/>
        <v>0</v>
      </c>
      <c r="U18" s="38">
        <f t="shared" si="14"/>
        <v>19199.309999999998</v>
      </c>
    </row>
    <row r="19" spans="1:21" x14ac:dyDescent="0.25">
      <c r="A19" s="32">
        <v>112733</v>
      </c>
      <c r="B19" s="32">
        <v>8312429</v>
      </c>
      <c r="C19" s="31" t="s">
        <v>68</v>
      </c>
      <c r="D19" s="31" t="s">
        <v>591</v>
      </c>
      <c r="E19" s="37">
        <f>VLOOKUP(B19,'ISB new'!B:G,5,FALSE)</f>
        <v>149</v>
      </c>
      <c r="F19" s="37">
        <f>VLOOKUP(B19,'ISB new'!B:G,6,FALSE)</f>
        <v>0</v>
      </c>
      <c r="G19" s="38">
        <f t="shared" si="4"/>
        <v>959.56000000000006</v>
      </c>
      <c r="H19" s="38">
        <f t="shared" si="5"/>
        <v>0</v>
      </c>
      <c r="I19" s="38">
        <f t="shared" si="6"/>
        <v>2699.88</v>
      </c>
      <c r="J19" s="38">
        <f t="shared" si="7"/>
        <v>0</v>
      </c>
      <c r="K19" s="38">
        <f t="shared" si="8"/>
        <v>3856.12</v>
      </c>
      <c r="L19" s="38">
        <f t="shared" si="9"/>
        <v>0</v>
      </c>
      <c r="M19" s="38">
        <f t="shared" si="10"/>
        <v>2400.39</v>
      </c>
      <c r="N19" s="38">
        <f t="shared" si="11"/>
        <v>0</v>
      </c>
      <c r="O19" s="38">
        <f t="shared" si="12"/>
        <v>1665.82</v>
      </c>
      <c r="P19" s="38">
        <f t="shared" si="13"/>
        <v>0</v>
      </c>
      <c r="Q19" s="32"/>
      <c r="R19" s="32"/>
      <c r="S19" s="38">
        <f t="shared" si="2"/>
        <v>11581.769999999999</v>
      </c>
      <c r="T19" s="38">
        <f t="shared" si="3"/>
        <v>0</v>
      </c>
      <c r="U19" s="38">
        <f t="shared" si="14"/>
        <v>11581.769999999999</v>
      </c>
    </row>
    <row r="20" spans="1:21" x14ac:dyDescent="0.25">
      <c r="A20" s="32">
        <v>112739</v>
      </c>
      <c r="B20" s="32">
        <v>8312436</v>
      </c>
      <c r="C20" s="31" t="s">
        <v>69</v>
      </c>
      <c r="D20" s="31" t="s">
        <v>591</v>
      </c>
      <c r="E20" s="37">
        <f>VLOOKUP(B20,'ISB new'!B:G,5,FALSE)</f>
        <v>421</v>
      </c>
      <c r="F20" s="37">
        <f>VLOOKUP(B20,'ISB new'!B:G,6,FALSE)</f>
        <v>0</v>
      </c>
      <c r="G20" s="38">
        <f t="shared" si="4"/>
        <v>2711.2400000000002</v>
      </c>
      <c r="H20" s="38">
        <f t="shared" si="5"/>
        <v>0</v>
      </c>
      <c r="I20" s="38">
        <f t="shared" si="6"/>
        <v>7628.52</v>
      </c>
      <c r="J20" s="38">
        <f t="shared" si="7"/>
        <v>0</v>
      </c>
      <c r="K20" s="38">
        <f t="shared" si="8"/>
        <v>10895.48</v>
      </c>
      <c r="L20" s="38">
        <f t="shared" si="9"/>
        <v>0</v>
      </c>
      <c r="M20" s="38">
        <f t="shared" si="10"/>
        <v>6782.3099999999995</v>
      </c>
      <c r="N20" s="38">
        <f t="shared" si="11"/>
        <v>0</v>
      </c>
      <c r="O20" s="38">
        <f t="shared" si="12"/>
        <v>4706.78</v>
      </c>
      <c r="P20" s="38">
        <f t="shared" si="13"/>
        <v>0</v>
      </c>
      <c r="Q20" s="32"/>
      <c r="R20" s="32"/>
      <c r="S20" s="38">
        <f t="shared" si="2"/>
        <v>32724.329999999994</v>
      </c>
      <c r="T20" s="38">
        <f t="shared" si="3"/>
        <v>0</v>
      </c>
      <c r="U20" s="38">
        <f t="shared" si="14"/>
        <v>32724.329999999994</v>
      </c>
    </row>
    <row r="21" spans="1:21" x14ac:dyDescent="0.25">
      <c r="A21" s="32">
        <v>112740</v>
      </c>
      <c r="B21" s="32">
        <v>8312439</v>
      </c>
      <c r="C21" s="31" t="s">
        <v>70</v>
      </c>
      <c r="D21" s="31" t="s">
        <v>591</v>
      </c>
      <c r="E21" s="37">
        <f>VLOOKUP(B21,'ISB new'!B:G,5,FALSE)</f>
        <v>172</v>
      </c>
      <c r="F21" s="37">
        <f>VLOOKUP(B21,'ISB new'!B:G,6,FALSE)</f>
        <v>0</v>
      </c>
      <c r="G21" s="38">
        <f t="shared" si="4"/>
        <v>1107.68</v>
      </c>
      <c r="H21" s="38">
        <f t="shared" si="5"/>
        <v>0</v>
      </c>
      <c r="I21" s="38">
        <f t="shared" si="6"/>
        <v>3116.6400000000003</v>
      </c>
      <c r="J21" s="38">
        <f t="shared" si="7"/>
        <v>0</v>
      </c>
      <c r="K21" s="38">
        <f t="shared" si="8"/>
        <v>4451.3599999999997</v>
      </c>
      <c r="L21" s="38">
        <f t="shared" si="9"/>
        <v>0</v>
      </c>
      <c r="M21" s="38">
        <f t="shared" si="10"/>
        <v>2770.92</v>
      </c>
      <c r="N21" s="38">
        <f t="shared" si="11"/>
        <v>0</v>
      </c>
      <c r="O21" s="38">
        <f t="shared" si="12"/>
        <v>1922.96</v>
      </c>
      <c r="P21" s="38">
        <f t="shared" si="13"/>
        <v>0</v>
      </c>
      <c r="Q21" s="32"/>
      <c r="R21" s="32"/>
      <c r="S21" s="38">
        <f t="shared" si="2"/>
        <v>13369.559999999998</v>
      </c>
      <c r="T21" s="38">
        <f t="shared" si="3"/>
        <v>0</v>
      </c>
      <c r="U21" s="38">
        <f t="shared" si="14"/>
        <v>13369.559999999998</v>
      </c>
    </row>
    <row r="22" spans="1:21" x14ac:dyDescent="0.25">
      <c r="A22" s="32">
        <v>112744</v>
      </c>
      <c r="B22" s="32">
        <v>8312443</v>
      </c>
      <c r="C22" s="31" t="s">
        <v>71</v>
      </c>
      <c r="D22" s="31" t="s">
        <v>591</v>
      </c>
      <c r="E22" s="37">
        <f>VLOOKUP(B22,'ISB new'!B:G,5,FALSE)</f>
        <v>269</v>
      </c>
      <c r="F22" s="37">
        <f>VLOOKUP(B22,'ISB new'!B:G,6,FALSE)</f>
        <v>0</v>
      </c>
      <c r="G22" s="38">
        <f t="shared" si="4"/>
        <v>1732.3600000000001</v>
      </c>
      <c r="H22" s="38">
        <f t="shared" si="5"/>
        <v>0</v>
      </c>
      <c r="I22" s="38">
        <f t="shared" si="6"/>
        <v>4874.2800000000007</v>
      </c>
      <c r="J22" s="38">
        <f t="shared" si="7"/>
        <v>0</v>
      </c>
      <c r="K22" s="38">
        <f t="shared" si="8"/>
        <v>6961.7199999999993</v>
      </c>
      <c r="L22" s="38">
        <f t="shared" si="9"/>
        <v>0</v>
      </c>
      <c r="M22" s="38">
        <f t="shared" si="10"/>
        <v>4333.59</v>
      </c>
      <c r="N22" s="38">
        <f t="shared" si="11"/>
        <v>0</v>
      </c>
      <c r="O22" s="38">
        <f t="shared" si="12"/>
        <v>3007.42</v>
      </c>
      <c r="P22" s="38">
        <f t="shared" si="13"/>
        <v>0</v>
      </c>
      <c r="Q22" s="32"/>
      <c r="R22" s="32"/>
      <c r="S22" s="38">
        <f t="shared" si="2"/>
        <v>20909.37</v>
      </c>
      <c r="T22" s="38">
        <f t="shared" si="3"/>
        <v>0</v>
      </c>
      <c r="U22" s="38">
        <f t="shared" si="14"/>
        <v>20909.37</v>
      </c>
    </row>
    <row r="23" spans="1:21" x14ac:dyDescent="0.25">
      <c r="A23" s="32">
        <v>112745</v>
      </c>
      <c r="B23" s="32">
        <v>8312444</v>
      </c>
      <c r="C23" s="31" t="s">
        <v>72</v>
      </c>
      <c r="D23" s="31" t="s">
        <v>591</v>
      </c>
      <c r="E23" s="37">
        <f>VLOOKUP(B23,'ISB new'!B:G,5,FALSE)</f>
        <v>170</v>
      </c>
      <c r="F23" s="37">
        <f>VLOOKUP(B23,'ISB new'!B:G,6,FALSE)</f>
        <v>0</v>
      </c>
      <c r="G23" s="38">
        <f t="shared" si="4"/>
        <v>1094.8</v>
      </c>
      <c r="H23" s="38">
        <f t="shared" si="5"/>
        <v>0</v>
      </c>
      <c r="I23" s="38">
        <f t="shared" si="6"/>
        <v>3080.4</v>
      </c>
      <c r="J23" s="38">
        <f t="shared" si="7"/>
        <v>0</v>
      </c>
      <c r="K23" s="38">
        <f t="shared" si="8"/>
        <v>4399.5999999999995</v>
      </c>
      <c r="L23" s="38">
        <f t="shared" si="9"/>
        <v>0</v>
      </c>
      <c r="M23" s="38">
        <f t="shared" si="10"/>
        <v>2738.7</v>
      </c>
      <c r="N23" s="38">
        <f t="shared" si="11"/>
        <v>0</v>
      </c>
      <c r="O23" s="38">
        <f t="shared" si="12"/>
        <v>1900.6</v>
      </c>
      <c r="P23" s="38">
        <f t="shared" si="13"/>
        <v>0</v>
      </c>
      <c r="Q23" s="32"/>
      <c r="R23" s="32"/>
      <c r="S23" s="38">
        <f t="shared" si="2"/>
        <v>13214.099999999999</v>
      </c>
      <c r="T23" s="38">
        <f t="shared" si="3"/>
        <v>0</v>
      </c>
      <c r="U23" s="38">
        <f t="shared" si="14"/>
        <v>13214.099999999999</v>
      </c>
    </row>
    <row r="24" spans="1:21" x14ac:dyDescent="0.25">
      <c r="A24" s="32">
        <v>112749</v>
      </c>
      <c r="B24" s="32">
        <v>8312449</v>
      </c>
      <c r="C24" s="31" t="s">
        <v>73</v>
      </c>
      <c r="D24" s="31" t="s">
        <v>591</v>
      </c>
      <c r="E24" s="37">
        <f>VLOOKUP(B24,'ISB new'!B:G,5,FALSE)</f>
        <v>222</v>
      </c>
      <c r="F24" s="37">
        <f>VLOOKUP(B24,'ISB new'!B:G,6,FALSE)</f>
        <v>0</v>
      </c>
      <c r="G24" s="38">
        <f t="shared" si="4"/>
        <v>1429.68</v>
      </c>
      <c r="H24" s="38">
        <f t="shared" si="5"/>
        <v>0</v>
      </c>
      <c r="I24" s="38">
        <f t="shared" si="6"/>
        <v>4022.6400000000003</v>
      </c>
      <c r="J24" s="38">
        <f t="shared" si="7"/>
        <v>0</v>
      </c>
      <c r="K24" s="38">
        <f t="shared" si="8"/>
        <v>5745.36</v>
      </c>
      <c r="L24" s="38">
        <f t="shared" si="9"/>
        <v>0</v>
      </c>
      <c r="M24" s="38">
        <f t="shared" si="10"/>
        <v>3576.42</v>
      </c>
      <c r="N24" s="38">
        <f t="shared" si="11"/>
        <v>0</v>
      </c>
      <c r="O24" s="38">
        <f t="shared" si="12"/>
        <v>2481.96</v>
      </c>
      <c r="P24" s="38">
        <f t="shared" si="13"/>
        <v>0</v>
      </c>
      <c r="Q24" s="32"/>
      <c r="R24" s="32"/>
      <c r="S24" s="38">
        <f t="shared" si="2"/>
        <v>17256.059999999998</v>
      </c>
      <c r="T24" s="38">
        <f t="shared" si="3"/>
        <v>0</v>
      </c>
      <c r="U24" s="38">
        <f t="shared" si="14"/>
        <v>17256.059999999998</v>
      </c>
    </row>
    <row r="25" spans="1:21" x14ac:dyDescent="0.25">
      <c r="A25" s="32">
        <v>112752</v>
      </c>
      <c r="B25" s="32">
        <v>8312452</v>
      </c>
      <c r="C25" s="31" t="s">
        <v>74</v>
      </c>
      <c r="D25" s="31" t="s">
        <v>591</v>
      </c>
      <c r="E25" s="37">
        <f>VLOOKUP(B25,'ISB new'!B:G,5,FALSE)</f>
        <v>152</v>
      </c>
      <c r="F25" s="37">
        <f>VLOOKUP(B25,'ISB new'!B:G,6,FALSE)</f>
        <v>0</v>
      </c>
      <c r="G25" s="38">
        <f t="shared" si="4"/>
        <v>978.88000000000011</v>
      </c>
      <c r="H25" s="38">
        <f t="shared" si="5"/>
        <v>0</v>
      </c>
      <c r="I25" s="38">
        <f t="shared" si="6"/>
        <v>2754.2400000000002</v>
      </c>
      <c r="J25" s="38">
        <f t="shared" si="7"/>
        <v>0</v>
      </c>
      <c r="K25" s="38">
        <f t="shared" si="8"/>
        <v>3933.7599999999998</v>
      </c>
      <c r="L25" s="38">
        <f t="shared" si="9"/>
        <v>0</v>
      </c>
      <c r="M25" s="38">
        <f t="shared" si="10"/>
        <v>2448.7199999999998</v>
      </c>
      <c r="N25" s="38">
        <f t="shared" si="11"/>
        <v>0</v>
      </c>
      <c r="O25" s="38">
        <f t="shared" si="12"/>
        <v>1699.36</v>
      </c>
      <c r="P25" s="38">
        <f t="shared" si="13"/>
        <v>0</v>
      </c>
      <c r="Q25" s="32"/>
      <c r="R25" s="32"/>
      <c r="S25" s="38">
        <f t="shared" si="2"/>
        <v>11814.96</v>
      </c>
      <c r="T25" s="38">
        <f t="shared" si="3"/>
        <v>0</v>
      </c>
      <c r="U25" s="38">
        <f t="shared" si="14"/>
        <v>11814.96</v>
      </c>
    </row>
    <row r="26" spans="1:21" x14ac:dyDescent="0.25">
      <c r="A26" s="32">
        <v>112756</v>
      </c>
      <c r="B26" s="32">
        <v>8312457</v>
      </c>
      <c r="C26" s="31" t="s">
        <v>75</v>
      </c>
      <c r="D26" s="31" t="s">
        <v>591</v>
      </c>
      <c r="E26" s="37">
        <f>VLOOKUP(B26,'ISB new'!B:G,5,FALSE)</f>
        <v>358</v>
      </c>
      <c r="F26" s="37">
        <f>VLOOKUP(B26,'ISB new'!B:G,6,FALSE)</f>
        <v>0</v>
      </c>
      <c r="G26" s="38">
        <f t="shared" si="4"/>
        <v>2305.52</v>
      </c>
      <c r="H26" s="38">
        <f t="shared" si="5"/>
        <v>0</v>
      </c>
      <c r="I26" s="38">
        <f t="shared" si="6"/>
        <v>6486.96</v>
      </c>
      <c r="J26" s="38">
        <f t="shared" si="7"/>
        <v>0</v>
      </c>
      <c r="K26" s="38">
        <f t="shared" si="8"/>
        <v>9265.0399999999991</v>
      </c>
      <c r="L26" s="38">
        <f t="shared" si="9"/>
        <v>0</v>
      </c>
      <c r="M26" s="38">
        <f t="shared" si="10"/>
        <v>5767.38</v>
      </c>
      <c r="N26" s="38">
        <f t="shared" si="11"/>
        <v>0</v>
      </c>
      <c r="O26" s="38">
        <f t="shared" si="12"/>
        <v>4002.44</v>
      </c>
      <c r="P26" s="38">
        <f t="shared" si="13"/>
        <v>0</v>
      </c>
      <c r="Q26" s="32"/>
      <c r="R26" s="32"/>
      <c r="S26" s="38">
        <f t="shared" si="2"/>
        <v>27827.339999999997</v>
      </c>
      <c r="T26" s="38">
        <f t="shared" si="3"/>
        <v>0</v>
      </c>
      <c r="U26" s="38">
        <f t="shared" si="14"/>
        <v>27827.339999999997</v>
      </c>
    </row>
    <row r="27" spans="1:21" x14ac:dyDescent="0.25">
      <c r="A27" s="32">
        <v>112757</v>
      </c>
      <c r="B27" s="32">
        <v>8312458</v>
      </c>
      <c r="C27" s="31" t="s">
        <v>76</v>
      </c>
      <c r="D27" s="31" t="s">
        <v>591</v>
      </c>
      <c r="E27" s="37">
        <f>VLOOKUP(B27,'ISB new'!B:G,5,FALSE)</f>
        <v>250</v>
      </c>
      <c r="F27" s="37">
        <f>VLOOKUP(B27,'ISB new'!B:G,6,FALSE)</f>
        <v>0</v>
      </c>
      <c r="G27" s="38">
        <f t="shared" si="4"/>
        <v>1610</v>
      </c>
      <c r="H27" s="38">
        <f t="shared" si="5"/>
        <v>0</v>
      </c>
      <c r="I27" s="38">
        <f t="shared" si="6"/>
        <v>4530</v>
      </c>
      <c r="J27" s="38">
        <f t="shared" si="7"/>
        <v>0</v>
      </c>
      <c r="K27" s="38">
        <f t="shared" si="8"/>
        <v>6470</v>
      </c>
      <c r="L27" s="38">
        <f t="shared" si="9"/>
        <v>0</v>
      </c>
      <c r="M27" s="38">
        <f t="shared" si="10"/>
        <v>4027.5</v>
      </c>
      <c r="N27" s="38">
        <f t="shared" si="11"/>
        <v>0</v>
      </c>
      <c r="O27" s="38">
        <f t="shared" si="12"/>
        <v>2795</v>
      </c>
      <c r="P27" s="38">
        <f t="shared" si="13"/>
        <v>0</v>
      </c>
      <c r="Q27" s="32"/>
      <c r="R27" s="32"/>
      <c r="S27" s="38">
        <f t="shared" si="2"/>
        <v>19432.499999999996</v>
      </c>
      <c r="T27" s="38">
        <f t="shared" si="3"/>
        <v>0</v>
      </c>
      <c r="U27" s="38">
        <f t="shared" si="14"/>
        <v>19432.499999999996</v>
      </c>
    </row>
    <row r="28" spans="1:21" x14ac:dyDescent="0.25">
      <c r="A28" s="32">
        <v>112758</v>
      </c>
      <c r="B28" s="32">
        <v>8312459</v>
      </c>
      <c r="C28" s="31" t="s">
        <v>77</v>
      </c>
      <c r="D28" s="31" t="s">
        <v>591</v>
      </c>
      <c r="E28" s="37">
        <f>VLOOKUP(B28,'ISB new'!B:G,5,FALSE)</f>
        <v>362</v>
      </c>
      <c r="F28" s="37">
        <f>VLOOKUP(B28,'ISB new'!B:G,6,FALSE)</f>
        <v>0</v>
      </c>
      <c r="G28" s="38">
        <f t="shared" si="4"/>
        <v>2331.2800000000002</v>
      </c>
      <c r="H28" s="38">
        <f t="shared" si="5"/>
        <v>0</v>
      </c>
      <c r="I28" s="38">
        <f t="shared" si="6"/>
        <v>6559.4400000000005</v>
      </c>
      <c r="J28" s="38">
        <f t="shared" si="7"/>
        <v>0</v>
      </c>
      <c r="K28" s="38">
        <f t="shared" si="8"/>
        <v>9368.56</v>
      </c>
      <c r="L28" s="38">
        <f t="shared" si="9"/>
        <v>0</v>
      </c>
      <c r="M28" s="38">
        <f t="shared" si="10"/>
        <v>5831.82</v>
      </c>
      <c r="N28" s="38">
        <f t="shared" si="11"/>
        <v>0</v>
      </c>
      <c r="O28" s="38">
        <f t="shared" si="12"/>
        <v>4047.16</v>
      </c>
      <c r="P28" s="38">
        <f t="shared" si="13"/>
        <v>0</v>
      </c>
      <c r="Q28" s="32"/>
      <c r="R28" s="32"/>
      <c r="S28" s="38">
        <f t="shared" si="2"/>
        <v>28138.259999999995</v>
      </c>
      <c r="T28" s="38">
        <f t="shared" si="3"/>
        <v>0</v>
      </c>
      <c r="U28" s="38">
        <f t="shared" si="14"/>
        <v>28138.259999999995</v>
      </c>
    </row>
    <row r="29" spans="1:21" x14ac:dyDescent="0.25">
      <c r="A29" s="32">
        <v>112759</v>
      </c>
      <c r="B29" s="32">
        <v>8312462</v>
      </c>
      <c r="C29" s="31" t="s">
        <v>78</v>
      </c>
      <c r="D29" s="31" t="s">
        <v>591</v>
      </c>
      <c r="E29" s="37">
        <f>VLOOKUP(B29,'ISB new'!B:G,5,FALSE)</f>
        <v>238</v>
      </c>
      <c r="F29" s="37">
        <f>VLOOKUP(B29,'ISB new'!B:G,6,FALSE)</f>
        <v>0</v>
      </c>
      <c r="G29" s="38">
        <f t="shared" si="4"/>
        <v>1532.72</v>
      </c>
      <c r="H29" s="38">
        <f t="shared" si="5"/>
        <v>0</v>
      </c>
      <c r="I29" s="38">
        <f t="shared" si="6"/>
        <v>4312.5600000000004</v>
      </c>
      <c r="J29" s="38">
        <f t="shared" si="7"/>
        <v>0</v>
      </c>
      <c r="K29" s="38">
        <f t="shared" si="8"/>
        <v>6159.44</v>
      </c>
      <c r="L29" s="38">
        <f t="shared" si="9"/>
        <v>0</v>
      </c>
      <c r="M29" s="38">
        <f t="shared" si="10"/>
        <v>3834.18</v>
      </c>
      <c r="N29" s="38">
        <f t="shared" si="11"/>
        <v>0</v>
      </c>
      <c r="O29" s="38">
        <f t="shared" si="12"/>
        <v>2660.84</v>
      </c>
      <c r="P29" s="38">
        <f t="shared" si="13"/>
        <v>0</v>
      </c>
      <c r="Q29" s="32"/>
      <c r="R29" s="32"/>
      <c r="S29" s="38">
        <f t="shared" si="2"/>
        <v>18499.739999999998</v>
      </c>
      <c r="T29" s="38">
        <f t="shared" si="3"/>
        <v>0</v>
      </c>
      <c r="U29" s="38">
        <f t="shared" si="14"/>
        <v>18499.739999999998</v>
      </c>
    </row>
    <row r="30" spans="1:21" x14ac:dyDescent="0.25">
      <c r="A30" s="32">
        <v>112765</v>
      </c>
      <c r="B30" s="32">
        <v>8312469</v>
      </c>
      <c r="C30" s="31" t="s">
        <v>79</v>
      </c>
      <c r="D30" s="31" t="s">
        <v>591</v>
      </c>
      <c r="E30" s="37">
        <f>VLOOKUP(B30,'ISB new'!B:G,5,FALSE)</f>
        <v>425</v>
      </c>
      <c r="F30" s="37">
        <f>VLOOKUP(B30,'ISB new'!B:G,6,FALSE)</f>
        <v>0</v>
      </c>
      <c r="G30" s="38">
        <f t="shared" si="4"/>
        <v>2737</v>
      </c>
      <c r="H30" s="38">
        <f t="shared" si="5"/>
        <v>0</v>
      </c>
      <c r="I30" s="38">
        <f t="shared" si="6"/>
        <v>7701</v>
      </c>
      <c r="J30" s="38">
        <f t="shared" si="7"/>
        <v>0</v>
      </c>
      <c r="K30" s="38">
        <f t="shared" si="8"/>
        <v>10999</v>
      </c>
      <c r="L30" s="38">
        <f t="shared" si="9"/>
        <v>0</v>
      </c>
      <c r="M30" s="38">
        <f t="shared" si="10"/>
        <v>6846.75</v>
      </c>
      <c r="N30" s="38">
        <f t="shared" si="11"/>
        <v>0</v>
      </c>
      <c r="O30" s="38">
        <f t="shared" si="12"/>
        <v>4751.5</v>
      </c>
      <c r="P30" s="38">
        <f t="shared" si="13"/>
        <v>0</v>
      </c>
      <c r="Q30" s="32"/>
      <c r="R30" s="32"/>
      <c r="S30" s="38">
        <f t="shared" si="2"/>
        <v>33035.249999999993</v>
      </c>
      <c r="T30" s="38">
        <f t="shared" si="3"/>
        <v>0</v>
      </c>
      <c r="U30" s="38">
        <f t="shared" si="14"/>
        <v>33035.249999999993</v>
      </c>
    </row>
    <row r="31" spans="1:21" x14ac:dyDescent="0.25">
      <c r="A31" s="32">
        <v>112767</v>
      </c>
      <c r="B31" s="32">
        <v>8312473</v>
      </c>
      <c r="C31" s="31" t="s">
        <v>80</v>
      </c>
      <c r="D31" s="31" t="s">
        <v>591</v>
      </c>
      <c r="E31" s="37">
        <f>VLOOKUP(B31,'ISB new'!B:G,5,FALSE)</f>
        <v>248</v>
      </c>
      <c r="F31" s="37">
        <f>VLOOKUP(B31,'ISB new'!B:G,6,FALSE)</f>
        <v>0</v>
      </c>
      <c r="G31" s="38">
        <f t="shared" si="4"/>
        <v>1597.1200000000001</v>
      </c>
      <c r="H31" s="38">
        <f t="shared" si="5"/>
        <v>0</v>
      </c>
      <c r="I31" s="38">
        <f t="shared" si="6"/>
        <v>4493.76</v>
      </c>
      <c r="J31" s="38">
        <f t="shared" si="7"/>
        <v>0</v>
      </c>
      <c r="K31" s="38">
        <f t="shared" si="8"/>
        <v>6418.24</v>
      </c>
      <c r="L31" s="38">
        <f t="shared" si="9"/>
        <v>0</v>
      </c>
      <c r="M31" s="38">
        <f t="shared" si="10"/>
        <v>3995.2799999999997</v>
      </c>
      <c r="N31" s="38">
        <f t="shared" si="11"/>
        <v>0</v>
      </c>
      <c r="O31" s="38">
        <f t="shared" si="12"/>
        <v>2772.64</v>
      </c>
      <c r="P31" s="38">
        <f t="shared" si="13"/>
        <v>0</v>
      </c>
      <c r="Q31" s="32"/>
      <c r="R31" s="32"/>
      <c r="S31" s="38">
        <f t="shared" si="2"/>
        <v>19277.039999999997</v>
      </c>
      <c r="T31" s="38">
        <f t="shared" si="3"/>
        <v>0</v>
      </c>
      <c r="U31" s="38">
        <f t="shared" si="14"/>
        <v>19277.039999999997</v>
      </c>
    </row>
    <row r="32" spans="1:21" x14ac:dyDescent="0.25">
      <c r="A32" s="32">
        <v>112770</v>
      </c>
      <c r="B32" s="32">
        <v>8312505</v>
      </c>
      <c r="C32" s="31" t="s">
        <v>81</v>
      </c>
      <c r="D32" s="31" t="s">
        <v>591</v>
      </c>
      <c r="E32" s="37">
        <f>VLOOKUP(B32,'ISB new'!B:G,5,FALSE)</f>
        <v>551</v>
      </c>
      <c r="F32" s="37">
        <f>VLOOKUP(B32,'ISB new'!B:G,6,FALSE)</f>
        <v>0</v>
      </c>
      <c r="G32" s="38">
        <f t="shared" si="4"/>
        <v>3548.44</v>
      </c>
      <c r="H32" s="38">
        <f t="shared" si="5"/>
        <v>0</v>
      </c>
      <c r="I32" s="38">
        <f t="shared" si="6"/>
        <v>9984.1200000000008</v>
      </c>
      <c r="J32" s="38">
        <f t="shared" si="7"/>
        <v>0</v>
      </c>
      <c r="K32" s="38">
        <f t="shared" si="8"/>
        <v>14259.88</v>
      </c>
      <c r="L32" s="38">
        <f t="shared" si="9"/>
        <v>0</v>
      </c>
      <c r="M32" s="38">
        <f t="shared" si="10"/>
        <v>8876.61</v>
      </c>
      <c r="N32" s="38">
        <f t="shared" si="11"/>
        <v>0</v>
      </c>
      <c r="O32" s="38">
        <f t="shared" si="12"/>
        <v>6160.18</v>
      </c>
      <c r="P32" s="38">
        <f t="shared" si="13"/>
        <v>0</v>
      </c>
      <c r="Q32" s="32"/>
      <c r="R32" s="32"/>
      <c r="S32" s="38">
        <f t="shared" si="2"/>
        <v>42829.229999999996</v>
      </c>
      <c r="T32" s="38">
        <f t="shared" si="3"/>
        <v>0</v>
      </c>
      <c r="U32" s="38">
        <f t="shared" si="14"/>
        <v>42829.229999999996</v>
      </c>
    </row>
    <row r="33" spans="1:21" x14ac:dyDescent="0.25">
      <c r="A33" s="32">
        <v>112790</v>
      </c>
      <c r="B33" s="32">
        <v>8312627</v>
      </c>
      <c r="C33" s="31" t="s">
        <v>82</v>
      </c>
      <c r="D33" s="31" t="s">
        <v>591</v>
      </c>
      <c r="E33" s="37">
        <f>VLOOKUP(B33,'ISB new'!B:G,5,FALSE)</f>
        <v>411</v>
      </c>
      <c r="F33" s="37">
        <f>VLOOKUP(B33,'ISB new'!B:G,6,FALSE)</f>
        <v>0</v>
      </c>
      <c r="G33" s="38">
        <f t="shared" si="4"/>
        <v>2646.84</v>
      </c>
      <c r="H33" s="38">
        <f t="shared" si="5"/>
        <v>0</v>
      </c>
      <c r="I33" s="38">
        <f t="shared" si="6"/>
        <v>7447.3200000000006</v>
      </c>
      <c r="J33" s="38">
        <f t="shared" si="7"/>
        <v>0</v>
      </c>
      <c r="K33" s="38">
        <f t="shared" si="8"/>
        <v>10636.68</v>
      </c>
      <c r="L33" s="38">
        <f t="shared" si="9"/>
        <v>0</v>
      </c>
      <c r="M33" s="38">
        <f t="shared" si="10"/>
        <v>6621.21</v>
      </c>
      <c r="N33" s="38">
        <f t="shared" si="11"/>
        <v>0</v>
      </c>
      <c r="O33" s="38">
        <f t="shared" si="12"/>
        <v>4594.9799999999996</v>
      </c>
      <c r="P33" s="38">
        <f t="shared" si="13"/>
        <v>0</v>
      </c>
      <c r="Q33" s="32"/>
      <c r="R33" s="32"/>
      <c r="S33" s="38">
        <f t="shared" si="2"/>
        <v>31947.029999999995</v>
      </c>
      <c r="T33" s="38">
        <f t="shared" si="3"/>
        <v>0</v>
      </c>
      <c r="U33" s="38">
        <f t="shared" si="14"/>
        <v>31947.029999999995</v>
      </c>
    </row>
    <row r="34" spans="1:21" x14ac:dyDescent="0.25">
      <c r="A34" s="32">
        <v>112915</v>
      </c>
      <c r="B34" s="32">
        <v>8313526</v>
      </c>
      <c r="C34" s="31" t="s">
        <v>83</v>
      </c>
      <c r="D34" s="31" t="s">
        <v>591</v>
      </c>
      <c r="E34" s="37">
        <f>VLOOKUP(B34,'ISB new'!B:G,5,FALSE)</f>
        <v>90</v>
      </c>
      <c r="F34" s="37">
        <f>VLOOKUP(B34,'ISB new'!B:G,6,FALSE)</f>
        <v>0</v>
      </c>
      <c r="G34" s="38">
        <f t="shared" si="4"/>
        <v>579.6</v>
      </c>
      <c r="H34" s="38">
        <f t="shared" si="5"/>
        <v>0</v>
      </c>
      <c r="I34" s="38">
        <f t="shared" si="6"/>
        <v>1630.8000000000002</v>
      </c>
      <c r="J34" s="38">
        <f t="shared" si="7"/>
        <v>0</v>
      </c>
      <c r="K34" s="38">
        <f t="shared" si="8"/>
        <v>2329.1999999999998</v>
      </c>
      <c r="L34" s="38">
        <f t="shared" si="9"/>
        <v>0</v>
      </c>
      <c r="M34" s="38">
        <f t="shared" si="10"/>
        <v>1449.8999999999999</v>
      </c>
      <c r="N34" s="38">
        <f t="shared" si="11"/>
        <v>0</v>
      </c>
      <c r="O34" s="38">
        <f t="shared" si="12"/>
        <v>1006.1999999999999</v>
      </c>
      <c r="P34" s="38">
        <f t="shared" si="13"/>
        <v>0</v>
      </c>
      <c r="Q34" s="32"/>
      <c r="R34" s="32"/>
      <c r="S34" s="38">
        <f t="shared" si="2"/>
        <v>6995.6999999999989</v>
      </c>
      <c r="T34" s="38">
        <f t="shared" si="3"/>
        <v>0</v>
      </c>
      <c r="U34" s="38">
        <f t="shared" si="14"/>
        <v>6995.6999999999989</v>
      </c>
    </row>
    <row r="35" spans="1:21" x14ac:dyDescent="0.25">
      <c r="A35" s="32">
        <v>112983</v>
      </c>
      <c r="B35" s="32">
        <v>8315209</v>
      </c>
      <c r="C35" s="31" t="s">
        <v>84</v>
      </c>
      <c r="D35" s="31" t="s">
        <v>591</v>
      </c>
      <c r="E35" s="37">
        <f>VLOOKUP(B35,'ISB new'!B:G,5,FALSE)</f>
        <v>276</v>
      </c>
      <c r="F35" s="37">
        <f>VLOOKUP(B35,'ISB new'!B:G,6,FALSE)</f>
        <v>0</v>
      </c>
      <c r="G35" s="38">
        <f t="shared" si="4"/>
        <v>1777.44</v>
      </c>
      <c r="H35" s="38">
        <f t="shared" si="5"/>
        <v>0</v>
      </c>
      <c r="I35" s="38">
        <f t="shared" si="6"/>
        <v>5001.12</v>
      </c>
      <c r="J35" s="38">
        <f t="shared" si="7"/>
        <v>0</v>
      </c>
      <c r="K35" s="38">
        <f t="shared" si="8"/>
        <v>7142.88</v>
      </c>
      <c r="L35" s="38">
        <f t="shared" si="9"/>
        <v>0</v>
      </c>
      <c r="M35" s="38">
        <f t="shared" si="10"/>
        <v>4446.3599999999997</v>
      </c>
      <c r="N35" s="38">
        <f t="shared" si="11"/>
        <v>0</v>
      </c>
      <c r="O35" s="38">
        <f t="shared" si="12"/>
        <v>3085.68</v>
      </c>
      <c r="P35" s="38">
        <f t="shared" si="13"/>
        <v>0</v>
      </c>
      <c r="Q35" s="32"/>
      <c r="R35" s="32"/>
      <c r="S35" s="38">
        <f t="shared" si="2"/>
        <v>21453.479999999996</v>
      </c>
      <c r="T35" s="38">
        <f t="shared" si="3"/>
        <v>0</v>
      </c>
      <c r="U35" s="38">
        <f t="shared" si="14"/>
        <v>21453.479999999996</v>
      </c>
    </row>
    <row r="36" spans="1:21" x14ac:dyDescent="0.25">
      <c r="A36" s="32">
        <v>112956</v>
      </c>
      <c r="B36" s="32">
        <v>8314182</v>
      </c>
      <c r="C36" s="31" t="s">
        <v>85</v>
      </c>
      <c r="D36" s="31" t="s">
        <v>592</v>
      </c>
      <c r="E36" s="37">
        <f>VLOOKUP(B36,'ISB new'!B:G,5,FALSE)</f>
        <v>0</v>
      </c>
      <c r="F36" s="37">
        <f>VLOOKUP(B36,'ISB new'!B:G,6,FALSE)</f>
        <v>1469</v>
      </c>
      <c r="G36" s="38">
        <f t="shared" si="4"/>
        <v>0</v>
      </c>
      <c r="H36" s="38">
        <f>F36*$H$9</f>
        <v>9460.36</v>
      </c>
      <c r="I36" s="38">
        <f t="shared" si="6"/>
        <v>0</v>
      </c>
      <c r="J36" s="38">
        <f t="shared" si="7"/>
        <v>26618.280000000002</v>
      </c>
      <c r="K36" s="38">
        <f t="shared" si="8"/>
        <v>0</v>
      </c>
      <c r="L36" s="38">
        <f t="shared" si="9"/>
        <v>38017.72</v>
      </c>
      <c r="M36" s="38">
        <f t="shared" si="10"/>
        <v>0</v>
      </c>
      <c r="N36" s="38">
        <f>F36*$N$9</f>
        <v>23665.59</v>
      </c>
      <c r="O36" s="38">
        <f t="shared" si="12"/>
        <v>0</v>
      </c>
      <c r="P36" s="38">
        <f t="shared" si="13"/>
        <v>0</v>
      </c>
      <c r="Q36" s="32"/>
      <c r="R36" s="32"/>
      <c r="S36" s="38">
        <f t="shared" si="2"/>
        <v>0</v>
      </c>
      <c r="T36" s="38">
        <f t="shared" si="3"/>
        <v>97761.95</v>
      </c>
      <c r="U36" s="38">
        <f t="shared" si="14"/>
        <v>97761.95</v>
      </c>
    </row>
    <row r="37" spans="1:21" x14ac:dyDescent="0.25">
      <c r="A37" s="32">
        <v>112991</v>
      </c>
      <c r="B37" s="32">
        <v>8315406</v>
      </c>
      <c r="C37" s="31" t="s">
        <v>86</v>
      </c>
      <c r="D37" s="31" t="s">
        <v>592</v>
      </c>
      <c r="E37" s="37">
        <f>VLOOKUP(B37,'ISB new'!B:G,5,FALSE)</f>
        <v>0</v>
      </c>
      <c r="F37" s="37">
        <f>VLOOKUP(B37,'ISB new'!B:G,6,FALSE)</f>
        <v>1239.58</v>
      </c>
      <c r="G37" s="38">
        <f t="shared" si="4"/>
        <v>0</v>
      </c>
      <c r="H37" s="38">
        <f t="shared" si="5"/>
        <v>7982.8951999999999</v>
      </c>
      <c r="I37" s="38">
        <f t="shared" si="6"/>
        <v>0</v>
      </c>
      <c r="J37" s="38">
        <f t="shared" si="7"/>
        <v>22461.189600000002</v>
      </c>
      <c r="K37" s="38">
        <f t="shared" si="8"/>
        <v>0</v>
      </c>
      <c r="L37" s="38">
        <f t="shared" si="9"/>
        <v>32080.330399999995</v>
      </c>
      <c r="M37" s="38">
        <f t="shared" si="10"/>
        <v>0</v>
      </c>
      <c r="N37" s="38">
        <f t="shared" si="11"/>
        <v>19969.6338</v>
      </c>
      <c r="O37" s="38">
        <f t="shared" si="12"/>
        <v>0</v>
      </c>
      <c r="P37" s="38">
        <f t="shared" si="13"/>
        <v>0</v>
      </c>
      <c r="Q37" s="32"/>
      <c r="R37" s="32"/>
      <c r="S37" s="38">
        <f t="shared" si="2"/>
        <v>0</v>
      </c>
      <c r="T37" s="38">
        <f t="shared" si="3"/>
        <v>82494.048999999985</v>
      </c>
      <c r="U37" s="38">
        <f t="shared" si="14"/>
        <v>82494.048999999985</v>
      </c>
    </row>
    <row r="38" spans="1:21" x14ac:dyDescent="0.25">
      <c r="A38" s="32">
        <v>112951</v>
      </c>
      <c r="B38" s="32">
        <v>8314177</v>
      </c>
      <c r="C38" s="31" t="s">
        <v>87</v>
      </c>
      <c r="D38" s="31" t="s">
        <v>593</v>
      </c>
      <c r="E38" s="37">
        <f>VLOOKUP(B38,'ISB new'!B:G,5,FALSE)</f>
        <v>396</v>
      </c>
      <c r="F38" s="37">
        <f>VLOOKUP(B38,'ISB new'!B:G,6,FALSE)</f>
        <v>1002</v>
      </c>
      <c r="G38" s="38">
        <f t="shared" si="4"/>
        <v>2550.2400000000002</v>
      </c>
      <c r="H38" s="38">
        <f t="shared" si="5"/>
        <v>6452.88</v>
      </c>
      <c r="I38" s="38">
        <f t="shared" si="6"/>
        <v>7175.52</v>
      </c>
      <c r="J38" s="38">
        <f t="shared" si="7"/>
        <v>18156.240000000002</v>
      </c>
      <c r="K38" s="38">
        <f t="shared" si="8"/>
        <v>10248.48</v>
      </c>
      <c r="L38" s="38">
        <f t="shared" si="9"/>
        <v>25931.759999999998</v>
      </c>
      <c r="M38" s="38">
        <f t="shared" si="10"/>
        <v>6379.5599999999995</v>
      </c>
      <c r="N38" s="38">
        <f t="shared" si="11"/>
        <v>16142.22</v>
      </c>
      <c r="O38" s="38">
        <f t="shared" si="12"/>
        <v>4427.28</v>
      </c>
      <c r="P38" s="38">
        <f t="shared" si="13"/>
        <v>0</v>
      </c>
      <c r="Q38" s="32"/>
      <c r="R38" s="32"/>
      <c r="S38" s="38">
        <f t="shared" si="2"/>
        <v>30781.079999999994</v>
      </c>
      <c r="T38" s="38">
        <f t="shared" si="3"/>
        <v>66683.099999999991</v>
      </c>
      <c r="U38" s="38">
        <f t="shared" si="14"/>
        <v>97464.18</v>
      </c>
    </row>
  </sheetData>
  <sheetProtection autoFilter="0"/>
  <mergeCells count="9">
    <mergeCell ref="C8:D8"/>
    <mergeCell ref="C9:D9"/>
    <mergeCell ref="S6:T6"/>
    <mergeCell ref="G6:H6"/>
    <mergeCell ref="I6:J6"/>
    <mergeCell ref="K6:L6"/>
    <mergeCell ref="M6:N6"/>
    <mergeCell ref="O6:P6"/>
    <mergeCell ref="Q6:R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8FD0F-FE46-439F-AB9C-E4B7623ECD8F}">
  <sheetPr codeName="Sheet15">
    <tabColor rgb="FF7030A0"/>
  </sheetPr>
  <dimension ref="A1:AX221"/>
  <sheetViews>
    <sheetView topLeftCell="A206" workbookViewId="0">
      <selection activeCell="M6" sqref="M6:N6"/>
    </sheetView>
  </sheetViews>
  <sheetFormatPr defaultRowHeight="12.5" x14ac:dyDescent="0.25"/>
  <cols>
    <col min="7" max="8" width="0" hidden="1" customWidth="1"/>
    <col min="11" max="12" width="0" hidden="1" customWidth="1"/>
    <col min="15" max="16" width="0" hidden="1" customWidth="1"/>
    <col min="19" max="20" width="0" hidden="1" customWidth="1"/>
    <col min="21" max="21" width="7.453125" customWidth="1"/>
    <col min="23" max="23" width="0" hidden="1" customWidth="1"/>
    <col min="25" max="25" width="0" hidden="1" customWidth="1"/>
    <col min="27" max="27" width="0" hidden="1" customWidth="1"/>
    <col min="29" max="29" width="0" hidden="1" customWidth="1"/>
    <col min="31" max="31" width="0" hidden="1" customWidth="1"/>
    <col min="33" max="33" width="0" hidden="1" customWidth="1"/>
    <col min="35" max="35" width="0" hidden="1" customWidth="1"/>
    <col min="37" max="37" width="0" hidden="1" customWidth="1"/>
    <col min="39" max="39" width="0" hidden="1" customWidth="1"/>
    <col min="42" max="42" width="0" hidden="1" customWidth="1"/>
    <col min="44" max="44" width="0" hidden="1" customWidth="1"/>
    <col min="46" max="46" width="0" hidden="1" customWidth="1"/>
    <col min="48" max="48" width="0" hidden="1" customWidth="1"/>
  </cols>
  <sheetData>
    <row r="1" spans="1:50" ht="19" thickBot="1" x14ac:dyDescent="0.5">
      <c r="B1" s="331" t="s">
        <v>802</v>
      </c>
    </row>
    <row r="2" spans="1:50" ht="15" thickBot="1" x14ac:dyDescent="0.4">
      <c r="A2">
        <v>1</v>
      </c>
      <c r="B2">
        <v>2</v>
      </c>
      <c r="C2">
        <v>3</v>
      </c>
      <c r="D2">
        <v>4</v>
      </c>
      <c r="E2">
        <v>5</v>
      </c>
      <c r="F2">
        <v>6</v>
      </c>
      <c r="G2">
        <v>7</v>
      </c>
      <c r="H2">
        <v>8</v>
      </c>
      <c r="I2">
        <v>9</v>
      </c>
      <c r="J2">
        <v>10</v>
      </c>
      <c r="K2">
        <v>11</v>
      </c>
      <c r="L2">
        <v>12</v>
      </c>
      <c r="M2">
        <v>13</v>
      </c>
      <c r="N2">
        <v>14</v>
      </c>
      <c r="O2">
        <v>15</v>
      </c>
      <c r="P2">
        <v>16</v>
      </c>
      <c r="Q2">
        <v>17</v>
      </c>
      <c r="R2">
        <v>18</v>
      </c>
      <c r="S2">
        <v>19</v>
      </c>
      <c r="T2">
        <v>20</v>
      </c>
      <c r="V2" s="756" t="s">
        <v>803</v>
      </c>
      <c r="W2" s="757"/>
      <c r="X2" s="757"/>
      <c r="Y2" s="757"/>
      <c r="Z2" s="757"/>
      <c r="AA2" s="757"/>
      <c r="AB2" s="757"/>
      <c r="AC2" s="757"/>
      <c r="AD2" s="757"/>
      <c r="AE2" s="757"/>
      <c r="AF2" s="757"/>
      <c r="AG2" s="757"/>
      <c r="AH2" s="757"/>
      <c r="AI2" s="757"/>
      <c r="AJ2" s="757"/>
      <c r="AK2" s="757"/>
      <c r="AL2" s="757"/>
      <c r="AM2" s="758"/>
    </row>
    <row r="3" spans="1:50" ht="15" thickBot="1" x14ac:dyDescent="0.4">
      <c r="E3" s="756" t="s">
        <v>804</v>
      </c>
      <c r="F3" s="757"/>
      <c r="G3" s="757"/>
      <c r="H3" s="757"/>
      <c r="I3" s="757"/>
      <c r="J3" s="757"/>
      <c r="K3" s="757"/>
      <c r="L3" s="757"/>
      <c r="M3" s="757"/>
      <c r="N3" s="757"/>
      <c r="O3" s="757"/>
      <c r="P3" s="757"/>
      <c r="Q3" s="757"/>
      <c r="R3" s="757"/>
      <c r="S3" s="757"/>
      <c r="T3" s="758"/>
      <c r="V3" s="748" t="s">
        <v>594</v>
      </c>
      <c r="W3" s="749"/>
      <c r="X3" s="749"/>
      <c r="Y3" s="749"/>
      <c r="Z3" s="749"/>
      <c r="AA3" s="749"/>
      <c r="AB3" s="749"/>
      <c r="AC3" s="750"/>
      <c r="AD3" s="748" t="s">
        <v>595</v>
      </c>
      <c r="AE3" s="749"/>
      <c r="AF3" s="749"/>
      <c r="AG3" s="749"/>
      <c r="AH3" s="749"/>
      <c r="AI3" s="749"/>
      <c r="AJ3" s="749"/>
      <c r="AK3" s="750"/>
      <c r="AL3" s="332"/>
      <c r="AM3" s="333"/>
      <c r="AN3" s="334"/>
      <c r="AO3" s="748" t="s">
        <v>176</v>
      </c>
      <c r="AP3" s="749"/>
      <c r="AQ3" s="749"/>
      <c r="AR3" s="749"/>
      <c r="AS3" s="749"/>
      <c r="AT3" s="749"/>
      <c r="AU3" s="749"/>
      <c r="AV3" s="750"/>
    </row>
    <row r="4" spans="1:50" ht="102" thickBot="1" x14ac:dyDescent="0.4">
      <c r="A4" t="s">
        <v>270</v>
      </c>
      <c r="B4" s="335" t="s">
        <v>1</v>
      </c>
      <c r="C4" s="336" t="s">
        <v>598</v>
      </c>
      <c r="D4" s="337" t="s">
        <v>805</v>
      </c>
      <c r="E4" s="338" t="s">
        <v>806</v>
      </c>
      <c r="F4" s="339" t="s">
        <v>807</v>
      </c>
      <c r="G4" s="339" t="s">
        <v>808</v>
      </c>
      <c r="H4" s="340" t="s">
        <v>809</v>
      </c>
      <c r="I4" s="338" t="s">
        <v>1368</v>
      </c>
      <c r="J4" s="339" t="s">
        <v>1355</v>
      </c>
      <c r="K4" s="339" t="s">
        <v>812</v>
      </c>
      <c r="L4" s="340" t="s">
        <v>813</v>
      </c>
      <c r="M4" s="338" t="s">
        <v>1356</v>
      </c>
      <c r="N4" s="339" t="s">
        <v>1357</v>
      </c>
      <c r="O4" s="339" t="s">
        <v>814</v>
      </c>
      <c r="P4" s="340" t="s">
        <v>815</v>
      </c>
      <c r="Q4" s="338" t="s">
        <v>816</v>
      </c>
      <c r="R4" s="340" t="s">
        <v>817</v>
      </c>
      <c r="S4" s="339" t="s">
        <v>818</v>
      </c>
      <c r="T4" s="340" t="s">
        <v>819</v>
      </c>
      <c r="U4" s="377" t="s">
        <v>1358</v>
      </c>
      <c r="V4" s="341" t="s">
        <v>820</v>
      </c>
      <c r="W4" s="337" t="s">
        <v>821</v>
      </c>
      <c r="X4" s="341" t="s">
        <v>1359</v>
      </c>
      <c r="Y4" s="337" t="s">
        <v>822</v>
      </c>
      <c r="Z4" s="341" t="s">
        <v>1360</v>
      </c>
      <c r="AA4" s="337" t="s">
        <v>823</v>
      </c>
      <c r="AB4" s="342" t="s">
        <v>824</v>
      </c>
      <c r="AC4" s="343" t="s">
        <v>825</v>
      </c>
      <c r="AD4" s="341" t="s">
        <v>820</v>
      </c>
      <c r="AE4" s="337" t="s">
        <v>821</v>
      </c>
      <c r="AF4" s="341" t="s">
        <v>1359</v>
      </c>
      <c r="AG4" s="337" t="s">
        <v>822</v>
      </c>
      <c r="AH4" s="341" t="s">
        <v>1360</v>
      </c>
      <c r="AI4" s="337" t="s">
        <v>823</v>
      </c>
      <c r="AJ4" s="341" t="s">
        <v>824</v>
      </c>
      <c r="AK4" s="344" t="s">
        <v>825</v>
      </c>
      <c r="AL4" s="341" t="s">
        <v>826</v>
      </c>
      <c r="AM4" s="344" t="s">
        <v>827</v>
      </c>
      <c r="AN4" s="345"/>
      <c r="AO4" s="341" t="s">
        <v>820</v>
      </c>
      <c r="AP4" s="345" t="s">
        <v>821</v>
      </c>
      <c r="AQ4" s="341" t="s">
        <v>1359</v>
      </c>
      <c r="AR4" s="346" t="s">
        <v>822</v>
      </c>
      <c r="AS4" s="341" t="s">
        <v>1360</v>
      </c>
      <c r="AT4" s="345" t="s">
        <v>823</v>
      </c>
      <c r="AU4" s="341" t="s">
        <v>824</v>
      </c>
      <c r="AV4" s="344" t="s">
        <v>825</v>
      </c>
      <c r="AX4" s="378" t="s">
        <v>1091</v>
      </c>
    </row>
    <row r="5" spans="1:50" ht="15" thickBot="1" x14ac:dyDescent="0.4">
      <c r="A5" s="543" t="s">
        <v>1203</v>
      </c>
      <c r="B5" s="347" t="s">
        <v>828</v>
      </c>
      <c r="C5" s="348"/>
      <c r="D5" s="348"/>
      <c r="E5" s="349">
        <v>84574.65</v>
      </c>
      <c r="F5" s="350">
        <v>14904</v>
      </c>
      <c r="G5" s="351">
        <v>0</v>
      </c>
      <c r="H5" s="352"/>
      <c r="I5" s="349">
        <v>71986.607142857145</v>
      </c>
      <c r="J5" s="350">
        <v>12585</v>
      </c>
      <c r="K5" s="351">
        <v>0</v>
      </c>
      <c r="L5" s="352"/>
      <c r="M5" s="349">
        <v>67797.125</v>
      </c>
      <c r="N5" s="350">
        <v>11933.625</v>
      </c>
      <c r="O5" s="351">
        <v>0</v>
      </c>
      <c r="P5" s="352"/>
      <c r="Q5" s="349">
        <v>224358.38214285712</v>
      </c>
      <c r="R5" s="353">
        <v>39422.625</v>
      </c>
      <c r="S5" s="351">
        <v>0</v>
      </c>
      <c r="T5" s="352"/>
      <c r="U5" s="355"/>
      <c r="V5" s="354">
        <v>48426</v>
      </c>
      <c r="W5" s="351">
        <v>0</v>
      </c>
      <c r="X5" s="354">
        <v>38065.178571428572</v>
      </c>
      <c r="Y5" s="351">
        <v>0</v>
      </c>
      <c r="Z5" s="354">
        <v>37395.416666666664</v>
      </c>
      <c r="AA5" s="351">
        <v>0</v>
      </c>
      <c r="AB5" s="350">
        <v>123886.59523809524</v>
      </c>
      <c r="AC5" s="351">
        <v>0</v>
      </c>
      <c r="AD5" s="354">
        <v>23934</v>
      </c>
      <c r="AE5" s="351">
        <v>0</v>
      </c>
      <c r="AF5" s="354">
        <v>17109.642857142855</v>
      </c>
      <c r="AG5" s="351">
        <v>0</v>
      </c>
      <c r="AH5" s="354">
        <v>17235.166666666668</v>
      </c>
      <c r="AI5" s="351">
        <v>0</v>
      </c>
      <c r="AJ5" s="354">
        <v>58278.809523809527</v>
      </c>
      <c r="AK5" s="352">
        <v>0</v>
      </c>
      <c r="AL5" s="354">
        <v>182165.40476190476</v>
      </c>
      <c r="AM5" s="352">
        <v>0</v>
      </c>
      <c r="AN5" s="355"/>
      <c r="AO5" s="354">
        <v>8226</v>
      </c>
      <c r="AP5" s="351">
        <v>0</v>
      </c>
      <c r="AQ5" s="354">
        <v>8453.5714285714294</v>
      </c>
      <c r="AR5" s="351">
        <v>0</v>
      </c>
      <c r="AS5" s="354">
        <v>5596.25</v>
      </c>
      <c r="AT5" s="351">
        <v>0</v>
      </c>
      <c r="AU5" s="354">
        <v>22275.821428571428</v>
      </c>
      <c r="AV5" s="352">
        <v>0</v>
      </c>
    </row>
    <row r="6" spans="1:50" ht="13" thickTop="1" x14ac:dyDescent="0.25">
      <c r="A6" s="594">
        <v>112479</v>
      </c>
      <c r="B6" s="356" t="s">
        <v>324</v>
      </c>
      <c r="C6">
        <v>1014</v>
      </c>
      <c r="D6" s="357" t="s">
        <v>829</v>
      </c>
      <c r="E6" s="358">
        <v>9942.75</v>
      </c>
      <c r="F6" s="359">
        <v>1080</v>
      </c>
      <c r="G6" s="360"/>
      <c r="H6" s="361"/>
      <c r="I6" s="358">
        <v>6975</v>
      </c>
      <c r="J6" s="359">
        <v>435</v>
      </c>
      <c r="K6" s="360"/>
      <c r="L6" s="361"/>
      <c r="M6" s="358">
        <v>5777.75</v>
      </c>
      <c r="N6" s="359">
        <v>907.5</v>
      </c>
      <c r="O6" s="360"/>
      <c r="P6" s="361"/>
      <c r="Q6" s="358">
        <v>22695.5</v>
      </c>
      <c r="R6" s="362">
        <v>2422.5</v>
      </c>
      <c r="S6" s="360">
        <v>0</v>
      </c>
      <c r="T6" s="361"/>
      <c r="V6" s="363">
        <v>4572</v>
      </c>
      <c r="W6" s="360"/>
      <c r="X6" s="363">
        <v>2700</v>
      </c>
      <c r="Y6" s="360"/>
      <c r="Z6" s="363">
        <v>2873.75</v>
      </c>
      <c r="AA6" s="360"/>
      <c r="AB6" s="359">
        <v>10145.75</v>
      </c>
      <c r="AC6" s="360">
        <v>0</v>
      </c>
      <c r="AD6" s="363">
        <v>4968</v>
      </c>
      <c r="AE6" s="360"/>
      <c r="AF6" s="363">
        <v>3600</v>
      </c>
      <c r="AG6" s="360"/>
      <c r="AH6" s="363">
        <v>3418.25</v>
      </c>
      <c r="AI6" s="360"/>
      <c r="AJ6" s="363">
        <v>11986.25</v>
      </c>
      <c r="AK6" s="361">
        <v>0</v>
      </c>
      <c r="AL6" s="363">
        <v>22132</v>
      </c>
      <c r="AM6" s="361">
        <v>0</v>
      </c>
      <c r="AO6" s="363">
        <v>180</v>
      </c>
      <c r="AP6" s="360"/>
      <c r="AQ6" s="363">
        <v>675</v>
      </c>
      <c r="AR6" s="360"/>
      <c r="AS6" s="363">
        <v>151.25</v>
      </c>
      <c r="AT6" s="360"/>
      <c r="AU6" s="363">
        <v>1006.25</v>
      </c>
      <c r="AV6" s="361">
        <v>0</v>
      </c>
      <c r="AX6" s="424">
        <v>100000</v>
      </c>
    </row>
    <row r="7" spans="1:50" x14ac:dyDescent="0.25">
      <c r="A7" s="594">
        <v>112472</v>
      </c>
      <c r="B7" s="364" t="s">
        <v>325</v>
      </c>
      <c r="C7">
        <v>1006</v>
      </c>
      <c r="D7" t="s">
        <v>830</v>
      </c>
      <c r="E7" s="358">
        <v>11244</v>
      </c>
      <c r="F7" s="359">
        <v>2568</v>
      </c>
      <c r="G7" s="360"/>
      <c r="H7" s="361"/>
      <c r="I7" s="358">
        <v>9030</v>
      </c>
      <c r="J7" s="359">
        <v>2670</v>
      </c>
      <c r="K7" s="360"/>
      <c r="L7" s="361"/>
      <c r="M7" s="358">
        <v>7794.416666666667</v>
      </c>
      <c r="N7" s="359">
        <v>1996.5</v>
      </c>
      <c r="O7" s="360"/>
      <c r="P7" s="361"/>
      <c r="Q7" s="358">
        <v>28068.416666666668</v>
      </c>
      <c r="R7" s="362">
        <v>7234.5</v>
      </c>
      <c r="S7" s="360">
        <v>0</v>
      </c>
      <c r="T7" s="361"/>
      <c r="V7" s="363">
        <v>5568</v>
      </c>
      <c r="W7" s="360"/>
      <c r="X7" s="363">
        <v>2475</v>
      </c>
      <c r="Y7" s="360"/>
      <c r="Z7" s="363">
        <v>4436.6666666666661</v>
      </c>
      <c r="AA7" s="360"/>
      <c r="AB7" s="359">
        <v>12479.666666666666</v>
      </c>
      <c r="AC7" s="360">
        <v>0</v>
      </c>
      <c r="AD7" s="363">
        <v>5784</v>
      </c>
      <c r="AE7" s="360"/>
      <c r="AF7" s="363">
        <v>4260</v>
      </c>
      <c r="AG7" s="360"/>
      <c r="AH7" s="363">
        <v>3781.25</v>
      </c>
      <c r="AI7" s="360"/>
      <c r="AJ7" s="363">
        <v>13825.25</v>
      </c>
      <c r="AK7" s="361">
        <v>0</v>
      </c>
      <c r="AL7" s="363">
        <v>26304.916666666664</v>
      </c>
      <c r="AM7" s="361">
        <v>0</v>
      </c>
      <c r="AO7" s="363">
        <v>336</v>
      </c>
      <c r="AP7" s="360"/>
      <c r="AQ7" s="363">
        <v>225</v>
      </c>
      <c r="AR7" s="360"/>
      <c r="AS7" s="363">
        <v>0</v>
      </c>
      <c r="AT7" s="360"/>
      <c r="AU7" s="363">
        <v>561</v>
      </c>
      <c r="AV7" s="361">
        <v>0</v>
      </c>
      <c r="AX7" s="424">
        <v>100000</v>
      </c>
    </row>
    <row r="8" spans="1:50" x14ac:dyDescent="0.25">
      <c r="A8" s="594">
        <v>112474</v>
      </c>
      <c r="B8" s="356" t="s">
        <v>326</v>
      </c>
      <c r="C8">
        <v>1008</v>
      </c>
      <c r="D8" s="357" t="s">
        <v>831</v>
      </c>
      <c r="E8" s="358">
        <v>14014.5</v>
      </c>
      <c r="F8" s="359">
        <v>540</v>
      </c>
      <c r="G8" s="360"/>
      <c r="H8" s="361"/>
      <c r="I8" s="358">
        <v>13885.714285714284</v>
      </c>
      <c r="J8" s="359">
        <v>900</v>
      </c>
      <c r="K8" s="360"/>
      <c r="L8" s="361"/>
      <c r="M8" s="358">
        <v>12375</v>
      </c>
      <c r="N8" s="359">
        <v>605</v>
      </c>
      <c r="O8" s="360"/>
      <c r="P8" s="361"/>
      <c r="Q8" s="358">
        <v>40275.214285714283</v>
      </c>
      <c r="R8" s="362">
        <v>2045</v>
      </c>
      <c r="S8" s="360">
        <v>0</v>
      </c>
      <c r="T8" s="361"/>
      <c r="V8" s="363">
        <v>11490</v>
      </c>
      <c r="W8" s="360"/>
      <c r="X8" s="363">
        <v>12551.785714285716</v>
      </c>
      <c r="Y8" s="360"/>
      <c r="Z8" s="363">
        <v>9982.5</v>
      </c>
      <c r="AA8" s="360"/>
      <c r="AB8" s="359">
        <v>34024.285714285717</v>
      </c>
      <c r="AC8" s="360">
        <v>0</v>
      </c>
      <c r="AD8" s="363">
        <v>1620</v>
      </c>
      <c r="AE8" s="360"/>
      <c r="AF8" s="363">
        <v>450</v>
      </c>
      <c r="AG8" s="360"/>
      <c r="AH8" s="363">
        <v>1361.25</v>
      </c>
      <c r="AI8" s="360"/>
      <c r="AJ8" s="363">
        <v>3431.25</v>
      </c>
      <c r="AK8" s="361">
        <v>0</v>
      </c>
      <c r="AL8" s="363">
        <v>37455.535714285717</v>
      </c>
      <c r="AM8" s="361">
        <v>0</v>
      </c>
      <c r="AO8" s="363">
        <v>180</v>
      </c>
      <c r="AP8" s="360"/>
      <c r="AQ8" s="363">
        <v>900</v>
      </c>
      <c r="AR8" s="360"/>
      <c r="AS8" s="363">
        <v>151.25</v>
      </c>
      <c r="AT8" s="360"/>
      <c r="AU8" s="363">
        <v>1231.25</v>
      </c>
      <c r="AV8" s="361">
        <v>0</v>
      </c>
      <c r="AX8" s="424">
        <v>100000</v>
      </c>
    </row>
    <row r="9" spans="1:50" x14ac:dyDescent="0.25">
      <c r="A9" s="594">
        <v>112471</v>
      </c>
      <c r="B9" s="356" t="s">
        <v>327</v>
      </c>
      <c r="C9">
        <v>1005</v>
      </c>
      <c r="D9" s="357" t="s">
        <v>832</v>
      </c>
      <c r="E9" s="358">
        <v>10002.75</v>
      </c>
      <c r="F9" s="359">
        <v>1980</v>
      </c>
      <c r="G9" s="360"/>
      <c r="H9" s="361"/>
      <c r="I9" s="358">
        <v>7433.0357142857138</v>
      </c>
      <c r="J9" s="359">
        <v>900</v>
      </c>
      <c r="K9" s="360"/>
      <c r="L9" s="361"/>
      <c r="M9" s="358">
        <v>8250</v>
      </c>
      <c r="N9" s="359">
        <v>1361.25</v>
      </c>
      <c r="O9" s="360"/>
      <c r="P9" s="361"/>
      <c r="Q9" s="358">
        <v>25685.785714285714</v>
      </c>
      <c r="R9" s="362">
        <v>4241.25</v>
      </c>
      <c r="S9" s="360">
        <v>0</v>
      </c>
      <c r="T9" s="361"/>
      <c r="V9" s="363">
        <v>8640</v>
      </c>
      <c r="W9" s="360"/>
      <c r="X9" s="363">
        <v>3383.0357142857142</v>
      </c>
      <c r="Y9" s="360"/>
      <c r="Z9" s="363">
        <v>6201.25</v>
      </c>
      <c r="AA9" s="360"/>
      <c r="AB9" s="359">
        <v>18224.285714285714</v>
      </c>
      <c r="AC9" s="360">
        <v>0</v>
      </c>
      <c r="AD9" s="363">
        <v>1692</v>
      </c>
      <c r="AE9" s="360"/>
      <c r="AF9" s="363">
        <v>1350</v>
      </c>
      <c r="AG9" s="360"/>
      <c r="AH9" s="363">
        <v>1149.5</v>
      </c>
      <c r="AI9" s="360"/>
      <c r="AJ9" s="363">
        <v>4191.5</v>
      </c>
      <c r="AK9" s="361">
        <v>0</v>
      </c>
      <c r="AL9" s="363">
        <v>22415.785714285714</v>
      </c>
      <c r="AM9" s="361">
        <v>0</v>
      </c>
      <c r="AO9" s="363">
        <v>180</v>
      </c>
      <c r="AP9" s="360"/>
      <c r="AQ9" s="363">
        <v>0</v>
      </c>
      <c r="AR9" s="360"/>
      <c r="AS9" s="363">
        <v>0</v>
      </c>
      <c r="AT9" s="360"/>
      <c r="AU9" s="363">
        <v>180</v>
      </c>
      <c r="AV9" s="361">
        <v>0</v>
      </c>
      <c r="AX9" s="424">
        <v>100000</v>
      </c>
    </row>
    <row r="10" spans="1:50" x14ac:dyDescent="0.25">
      <c r="A10" s="594">
        <v>112476</v>
      </c>
      <c r="B10" s="356" t="s">
        <v>328</v>
      </c>
      <c r="C10">
        <v>1010</v>
      </c>
      <c r="D10" s="357" t="s">
        <v>833</v>
      </c>
      <c r="E10" s="358">
        <v>12303.15</v>
      </c>
      <c r="F10" s="359">
        <v>1080</v>
      </c>
      <c r="G10" s="360"/>
      <c r="H10" s="361"/>
      <c r="I10" s="358">
        <v>10462.5</v>
      </c>
      <c r="J10" s="359">
        <v>675</v>
      </c>
      <c r="K10" s="360"/>
      <c r="L10" s="361"/>
      <c r="M10" s="358">
        <v>10725</v>
      </c>
      <c r="N10" s="359">
        <v>907.5</v>
      </c>
      <c r="O10" s="360"/>
      <c r="P10" s="361"/>
      <c r="Q10" s="358">
        <v>33490.65</v>
      </c>
      <c r="R10" s="362">
        <v>2662.5</v>
      </c>
      <c r="S10" s="360">
        <v>0</v>
      </c>
      <c r="T10" s="361"/>
      <c r="V10" s="363">
        <v>5040</v>
      </c>
      <c r="W10" s="360"/>
      <c r="X10" s="363">
        <v>5094.6428571428578</v>
      </c>
      <c r="Y10" s="360"/>
      <c r="Z10" s="363">
        <v>4070</v>
      </c>
      <c r="AA10" s="360"/>
      <c r="AB10" s="359">
        <v>14204.642857142859</v>
      </c>
      <c r="AC10" s="360">
        <v>0</v>
      </c>
      <c r="AD10" s="363">
        <v>5370</v>
      </c>
      <c r="AE10" s="360"/>
      <c r="AF10" s="363">
        <v>2925</v>
      </c>
      <c r="AG10" s="360"/>
      <c r="AH10" s="363">
        <v>3918.75</v>
      </c>
      <c r="AI10" s="360"/>
      <c r="AJ10" s="363">
        <v>12213.75</v>
      </c>
      <c r="AK10" s="361">
        <v>0</v>
      </c>
      <c r="AL10" s="363">
        <v>26418.392857142859</v>
      </c>
      <c r="AM10" s="361">
        <v>0</v>
      </c>
      <c r="AO10" s="363">
        <v>6810</v>
      </c>
      <c r="AP10" s="360"/>
      <c r="AQ10" s="363">
        <v>5994.6428571428578</v>
      </c>
      <c r="AR10" s="360"/>
      <c r="AS10" s="363">
        <v>4840</v>
      </c>
      <c r="AT10" s="360"/>
      <c r="AU10" s="363">
        <v>17644.642857142859</v>
      </c>
      <c r="AV10" s="361">
        <v>0</v>
      </c>
      <c r="AX10" s="424">
        <v>100000</v>
      </c>
    </row>
    <row r="11" spans="1:50" x14ac:dyDescent="0.25">
      <c r="A11" s="594">
        <v>112475</v>
      </c>
      <c r="B11" s="356" t="s">
        <v>329</v>
      </c>
      <c r="C11">
        <v>1009</v>
      </c>
      <c r="D11" s="357" t="s">
        <v>834</v>
      </c>
      <c r="E11" s="358">
        <v>13320</v>
      </c>
      <c r="F11" s="359">
        <v>1260</v>
      </c>
      <c r="G11" s="360"/>
      <c r="H11" s="361"/>
      <c r="I11" s="358">
        <v>12905.357142857143</v>
      </c>
      <c r="J11" s="359">
        <v>1350</v>
      </c>
      <c r="K11" s="360"/>
      <c r="L11" s="361"/>
      <c r="M11" s="358">
        <v>11550</v>
      </c>
      <c r="N11" s="359">
        <v>1210</v>
      </c>
      <c r="O11" s="360"/>
      <c r="P11" s="361"/>
      <c r="Q11" s="358">
        <v>37775.357142857145</v>
      </c>
      <c r="R11" s="362">
        <v>3820</v>
      </c>
      <c r="S11" s="360">
        <v>0</v>
      </c>
      <c r="T11" s="361"/>
      <c r="V11" s="363">
        <v>11340</v>
      </c>
      <c r="W11" s="360"/>
      <c r="X11" s="363">
        <v>10960.714285714284</v>
      </c>
      <c r="Y11" s="360"/>
      <c r="Z11" s="363">
        <v>8470</v>
      </c>
      <c r="AA11" s="360"/>
      <c r="AB11" s="359">
        <v>30770.714285714283</v>
      </c>
      <c r="AC11" s="360">
        <v>0</v>
      </c>
      <c r="AD11" s="363">
        <v>1620</v>
      </c>
      <c r="AE11" s="360"/>
      <c r="AF11" s="363">
        <v>1494.6428571428571</v>
      </c>
      <c r="AG11" s="360"/>
      <c r="AH11" s="363">
        <v>1361.25</v>
      </c>
      <c r="AI11" s="360"/>
      <c r="AJ11" s="363">
        <v>4475.8928571428569</v>
      </c>
      <c r="AK11" s="361">
        <v>0</v>
      </c>
      <c r="AL11" s="363">
        <v>35246.607142857138</v>
      </c>
      <c r="AM11" s="361">
        <v>0</v>
      </c>
      <c r="AO11" s="363">
        <v>540</v>
      </c>
      <c r="AP11" s="360"/>
      <c r="AQ11" s="363">
        <v>658.92857142857144</v>
      </c>
      <c r="AR11" s="360"/>
      <c r="AS11" s="363">
        <v>453.75</v>
      </c>
      <c r="AT11" s="360"/>
      <c r="AU11" s="363">
        <v>1652.6785714285716</v>
      </c>
      <c r="AV11" s="361">
        <v>0</v>
      </c>
      <c r="AX11" s="424">
        <v>100000</v>
      </c>
    </row>
    <row r="12" spans="1:50" x14ac:dyDescent="0.25">
      <c r="A12" s="594">
        <v>112480</v>
      </c>
      <c r="B12" s="364" t="s">
        <v>330</v>
      </c>
      <c r="C12">
        <v>1015</v>
      </c>
      <c r="D12" t="s">
        <v>835</v>
      </c>
      <c r="E12" s="358">
        <v>13747.5</v>
      </c>
      <c r="F12" s="359">
        <v>6396</v>
      </c>
      <c r="G12" s="360"/>
      <c r="H12" s="361"/>
      <c r="I12" s="358">
        <v>11295</v>
      </c>
      <c r="J12" s="359">
        <v>5655</v>
      </c>
      <c r="K12" s="360"/>
      <c r="L12" s="361"/>
      <c r="M12" s="358">
        <v>11324.958333333334</v>
      </c>
      <c r="N12" s="359">
        <v>4945.875</v>
      </c>
      <c r="O12" s="360"/>
      <c r="P12" s="361"/>
      <c r="Q12" s="358">
        <v>36367.458333333336</v>
      </c>
      <c r="R12" s="362">
        <v>16996.875</v>
      </c>
      <c r="S12" s="360">
        <v>0</v>
      </c>
      <c r="T12" s="361"/>
      <c r="V12" s="363">
        <v>1776</v>
      </c>
      <c r="W12" s="360"/>
      <c r="X12" s="363">
        <v>900</v>
      </c>
      <c r="Y12" s="360"/>
      <c r="Z12" s="363">
        <v>1361.25</v>
      </c>
      <c r="AA12" s="360"/>
      <c r="AB12" s="359">
        <v>4037.25</v>
      </c>
      <c r="AC12" s="360">
        <v>0</v>
      </c>
      <c r="AD12" s="363">
        <v>2880</v>
      </c>
      <c r="AE12" s="360"/>
      <c r="AF12" s="363">
        <v>3030</v>
      </c>
      <c r="AG12" s="360"/>
      <c r="AH12" s="363">
        <v>2244.916666666667</v>
      </c>
      <c r="AI12" s="360"/>
      <c r="AJ12" s="363">
        <v>8154.916666666667</v>
      </c>
      <c r="AK12" s="361">
        <v>0</v>
      </c>
      <c r="AL12" s="363">
        <v>12192.166666666668</v>
      </c>
      <c r="AM12" s="361">
        <v>0</v>
      </c>
      <c r="AO12" s="363">
        <v>0</v>
      </c>
      <c r="AP12" s="360"/>
      <c r="AQ12" s="363">
        <v>0</v>
      </c>
      <c r="AR12" s="360"/>
      <c r="AS12" s="363">
        <v>0</v>
      </c>
      <c r="AT12" s="360"/>
      <c r="AU12" s="363">
        <v>0</v>
      </c>
      <c r="AV12" s="361">
        <v>0</v>
      </c>
      <c r="AX12" s="424">
        <v>100000</v>
      </c>
    </row>
    <row r="13" spans="1:50" ht="15" thickBot="1" x14ac:dyDescent="0.4">
      <c r="A13" s="543" t="s">
        <v>1203</v>
      </c>
      <c r="B13" s="347" t="s">
        <v>596</v>
      </c>
      <c r="C13" s="348"/>
      <c r="D13" s="348"/>
      <c r="E13" s="365">
        <v>106350.9</v>
      </c>
      <c r="F13" s="366">
        <v>32088</v>
      </c>
      <c r="G13" s="367">
        <v>0</v>
      </c>
      <c r="H13" s="368"/>
      <c r="I13" s="365">
        <v>100193.57142857143</v>
      </c>
      <c r="J13" s="366">
        <v>33546.428571428565</v>
      </c>
      <c r="K13" s="367">
        <v>0</v>
      </c>
      <c r="L13" s="368"/>
      <c r="M13" s="365">
        <v>85063</v>
      </c>
      <c r="N13" s="366">
        <v>27940</v>
      </c>
      <c r="O13" s="367">
        <v>0</v>
      </c>
      <c r="P13" s="368"/>
      <c r="Q13" s="365">
        <v>291607.47142857144</v>
      </c>
      <c r="R13" s="369">
        <v>93574.428571428565</v>
      </c>
      <c r="S13" s="367">
        <v>0</v>
      </c>
      <c r="T13" s="368"/>
      <c r="U13" s="348"/>
      <c r="V13" s="370">
        <v>43263</v>
      </c>
      <c r="W13" s="367">
        <v>0</v>
      </c>
      <c r="X13" s="370">
        <v>31548.214285714286</v>
      </c>
      <c r="Y13" s="367">
        <v>0</v>
      </c>
      <c r="Z13" s="370">
        <v>31399.5</v>
      </c>
      <c r="AA13" s="367">
        <v>0</v>
      </c>
      <c r="AB13" s="366">
        <v>106210.71428571429</v>
      </c>
      <c r="AC13" s="367">
        <v>0</v>
      </c>
      <c r="AD13" s="370">
        <v>41472</v>
      </c>
      <c r="AE13" s="367">
        <v>0</v>
      </c>
      <c r="AF13" s="370">
        <v>31355.357142857141</v>
      </c>
      <c r="AG13" s="367">
        <v>0</v>
      </c>
      <c r="AH13" s="370">
        <v>31974.25</v>
      </c>
      <c r="AI13" s="367">
        <v>0</v>
      </c>
      <c r="AJ13" s="370">
        <v>104801.60714285714</v>
      </c>
      <c r="AK13" s="368">
        <v>0</v>
      </c>
      <c r="AL13" s="370">
        <v>211012.32142857142</v>
      </c>
      <c r="AM13" s="368">
        <v>0</v>
      </c>
      <c r="AN13" s="348"/>
      <c r="AO13" s="370">
        <v>9129</v>
      </c>
      <c r="AP13" s="367">
        <v>0</v>
      </c>
      <c r="AQ13" s="370">
        <v>9257.1428571428569</v>
      </c>
      <c r="AR13" s="367">
        <v>0</v>
      </c>
      <c r="AS13" s="370">
        <v>6473.5</v>
      </c>
      <c r="AT13" s="367">
        <v>0</v>
      </c>
      <c r="AU13" s="370">
        <v>24859.642857142855</v>
      </c>
      <c r="AV13" s="368">
        <v>0</v>
      </c>
      <c r="AX13" s="424">
        <f>SUM(AX6:AX12)</f>
        <v>700000</v>
      </c>
    </row>
    <row r="14" spans="1:50" ht="13" thickTop="1" x14ac:dyDescent="0.25">
      <c r="A14" s="594">
        <v>112744</v>
      </c>
      <c r="B14" s="364" t="s">
        <v>71</v>
      </c>
      <c r="C14">
        <v>2443</v>
      </c>
      <c r="D14" t="s">
        <v>836</v>
      </c>
      <c r="E14" s="358">
        <v>11916</v>
      </c>
      <c r="F14" s="359">
        <v>6708</v>
      </c>
      <c r="G14" s="360"/>
      <c r="H14" s="361"/>
      <c r="I14" s="358">
        <v>14580</v>
      </c>
      <c r="J14" s="359">
        <v>6105</v>
      </c>
      <c r="K14" s="360"/>
      <c r="L14" s="361"/>
      <c r="M14" s="358">
        <v>10073.25</v>
      </c>
      <c r="N14" s="359">
        <v>5687</v>
      </c>
      <c r="O14" s="360"/>
      <c r="P14" s="361"/>
      <c r="Q14" s="358">
        <v>36569.25</v>
      </c>
      <c r="R14" s="362">
        <v>18500</v>
      </c>
      <c r="S14" s="360">
        <v>0</v>
      </c>
      <c r="T14" s="361"/>
      <c r="V14" s="363">
        <v>4860</v>
      </c>
      <c r="W14" s="360"/>
      <c r="X14" s="363">
        <v>4500</v>
      </c>
      <c r="Y14" s="360"/>
      <c r="Z14" s="363">
        <v>4083.75</v>
      </c>
      <c r="AA14" s="360"/>
      <c r="AB14" s="359">
        <v>13443.75</v>
      </c>
      <c r="AC14" s="360">
        <v>0</v>
      </c>
      <c r="AD14" s="363">
        <v>7128</v>
      </c>
      <c r="AE14" s="360"/>
      <c r="AF14" s="363">
        <v>4950</v>
      </c>
      <c r="AG14" s="360"/>
      <c r="AH14" s="363">
        <v>6140.75</v>
      </c>
      <c r="AI14" s="360"/>
      <c r="AJ14" s="363">
        <v>18218.75</v>
      </c>
      <c r="AK14" s="361">
        <v>0</v>
      </c>
      <c r="AL14" s="363">
        <v>31662.5</v>
      </c>
      <c r="AM14" s="361">
        <v>0</v>
      </c>
      <c r="AO14" s="363">
        <v>900</v>
      </c>
      <c r="AP14" s="360"/>
      <c r="AQ14" s="363">
        <v>450</v>
      </c>
      <c r="AR14" s="360"/>
      <c r="AS14" s="363">
        <v>756.25</v>
      </c>
      <c r="AT14" s="360"/>
      <c r="AU14" s="363">
        <v>2106.25</v>
      </c>
      <c r="AV14" s="361">
        <v>0</v>
      </c>
    </row>
    <row r="15" spans="1:50" x14ac:dyDescent="0.25">
      <c r="A15" s="594">
        <v>112717</v>
      </c>
      <c r="B15" s="356" t="s">
        <v>65</v>
      </c>
      <c r="C15">
        <v>2405</v>
      </c>
      <c r="D15" s="357" t="s">
        <v>837</v>
      </c>
      <c r="E15" s="358">
        <v>9131.5499999999993</v>
      </c>
      <c r="F15" s="359">
        <v>540</v>
      </c>
      <c r="G15" s="360"/>
      <c r="H15" s="361"/>
      <c r="I15" s="358">
        <v>7650</v>
      </c>
      <c r="J15" s="359">
        <v>675</v>
      </c>
      <c r="K15" s="360"/>
      <c r="L15" s="361"/>
      <c r="M15" s="358">
        <v>7095</v>
      </c>
      <c r="N15" s="359">
        <v>495</v>
      </c>
      <c r="O15" s="360"/>
      <c r="P15" s="361"/>
      <c r="Q15" s="358">
        <v>23876.55</v>
      </c>
      <c r="R15" s="362">
        <v>1710</v>
      </c>
      <c r="S15" s="360">
        <v>0</v>
      </c>
      <c r="T15" s="361"/>
      <c r="V15" s="363">
        <v>5220</v>
      </c>
      <c r="W15" s="360"/>
      <c r="X15" s="363">
        <v>3600</v>
      </c>
      <c r="Y15" s="360"/>
      <c r="Z15" s="363">
        <v>3630</v>
      </c>
      <c r="AA15" s="360"/>
      <c r="AB15" s="359">
        <v>12450</v>
      </c>
      <c r="AC15" s="360">
        <v>0</v>
      </c>
      <c r="AD15" s="363">
        <v>3420</v>
      </c>
      <c r="AE15" s="360"/>
      <c r="AF15" s="363">
        <v>3825</v>
      </c>
      <c r="AG15" s="360"/>
      <c r="AH15" s="363">
        <v>2268.75</v>
      </c>
      <c r="AI15" s="360"/>
      <c r="AJ15" s="363">
        <v>9513.75</v>
      </c>
      <c r="AK15" s="361">
        <v>0</v>
      </c>
      <c r="AL15" s="363">
        <v>21963.75</v>
      </c>
      <c r="AM15" s="361">
        <v>0</v>
      </c>
      <c r="AO15" s="363">
        <v>900</v>
      </c>
      <c r="AP15" s="360"/>
      <c r="AQ15" s="363">
        <v>675</v>
      </c>
      <c r="AR15" s="360"/>
      <c r="AS15" s="363">
        <v>605</v>
      </c>
      <c r="AT15" s="360"/>
      <c r="AU15" s="363">
        <v>2180</v>
      </c>
      <c r="AV15" s="361">
        <v>0</v>
      </c>
    </row>
    <row r="16" spans="1:50" x14ac:dyDescent="0.25">
      <c r="A16" s="594">
        <v>112951</v>
      </c>
      <c r="B16" s="356" t="s">
        <v>609</v>
      </c>
      <c r="C16">
        <v>4177</v>
      </c>
      <c r="D16" s="357" t="s">
        <v>838</v>
      </c>
      <c r="E16" s="358">
        <v>1404</v>
      </c>
      <c r="F16" s="359">
        <v>360</v>
      </c>
      <c r="G16" s="360"/>
      <c r="H16" s="361"/>
      <c r="I16" s="358">
        <v>675</v>
      </c>
      <c r="J16" s="359">
        <v>225</v>
      </c>
      <c r="K16" s="360"/>
      <c r="L16" s="361"/>
      <c r="M16" s="358">
        <v>1179.75</v>
      </c>
      <c r="N16" s="359">
        <v>151.25</v>
      </c>
      <c r="O16" s="360"/>
      <c r="P16" s="361"/>
      <c r="Q16" s="358">
        <v>3258.75</v>
      </c>
      <c r="R16" s="362">
        <v>736.25</v>
      </c>
      <c r="S16" s="360">
        <v>0</v>
      </c>
      <c r="T16" s="361"/>
      <c r="V16" s="363">
        <v>900</v>
      </c>
      <c r="W16" s="360"/>
      <c r="X16" s="363">
        <v>450</v>
      </c>
      <c r="Y16" s="360"/>
      <c r="Z16" s="363">
        <v>756.25</v>
      </c>
      <c r="AA16" s="360"/>
      <c r="AB16" s="359">
        <v>2106.25</v>
      </c>
      <c r="AC16" s="360">
        <v>0</v>
      </c>
      <c r="AD16" s="363">
        <v>504</v>
      </c>
      <c r="AE16" s="360"/>
      <c r="AF16" s="363">
        <v>0</v>
      </c>
      <c r="AG16" s="360"/>
      <c r="AH16" s="363">
        <v>423.5</v>
      </c>
      <c r="AI16" s="360"/>
      <c r="AJ16" s="363">
        <v>927.5</v>
      </c>
      <c r="AK16" s="361">
        <v>0</v>
      </c>
      <c r="AL16" s="363">
        <v>3033.75</v>
      </c>
      <c r="AM16" s="361">
        <v>0</v>
      </c>
      <c r="AO16" s="363">
        <v>684</v>
      </c>
      <c r="AP16" s="360"/>
      <c r="AQ16" s="363">
        <v>450</v>
      </c>
      <c r="AR16" s="360"/>
      <c r="AS16" s="363">
        <v>574.75</v>
      </c>
      <c r="AT16" s="360"/>
      <c r="AU16" s="363">
        <v>1708.75</v>
      </c>
      <c r="AV16" s="361">
        <v>0</v>
      </c>
    </row>
    <row r="17" spans="1:48" x14ac:dyDescent="0.25">
      <c r="A17" s="594">
        <v>112749</v>
      </c>
      <c r="B17" s="356" t="s">
        <v>73</v>
      </c>
      <c r="C17">
        <v>2449</v>
      </c>
      <c r="D17" s="357" t="s">
        <v>839</v>
      </c>
      <c r="E17" s="358">
        <v>9180</v>
      </c>
      <c r="F17" s="359">
        <v>4860</v>
      </c>
      <c r="G17" s="360"/>
      <c r="H17" s="361"/>
      <c r="I17" s="358">
        <v>10076.785714285716</v>
      </c>
      <c r="J17" s="359">
        <v>5335.7142857142862</v>
      </c>
      <c r="K17" s="360"/>
      <c r="L17" s="361"/>
      <c r="M17" s="358">
        <v>7562.5</v>
      </c>
      <c r="N17" s="359">
        <v>4083.75</v>
      </c>
      <c r="O17" s="360"/>
      <c r="P17" s="361"/>
      <c r="Q17" s="358">
        <v>26819.285714285717</v>
      </c>
      <c r="R17" s="362">
        <v>14279.464285714286</v>
      </c>
      <c r="S17" s="360">
        <v>0</v>
      </c>
      <c r="T17" s="361"/>
      <c r="V17" s="363">
        <v>1800</v>
      </c>
      <c r="W17" s="360"/>
      <c r="X17" s="363">
        <v>658.92857142857144</v>
      </c>
      <c r="Y17" s="360"/>
      <c r="Z17" s="363">
        <v>1512.5</v>
      </c>
      <c r="AA17" s="360"/>
      <c r="AB17" s="359">
        <v>3971.4285714285716</v>
      </c>
      <c r="AC17" s="360">
        <v>0</v>
      </c>
      <c r="AD17" s="363">
        <v>5760</v>
      </c>
      <c r="AE17" s="360"/>
      <c r="AF17" s="363">
        <v>2410.7142857142858</v>
      </c>
      <c r="AG17" s="360"/>
      <c r="AH17" s="363">
        <v>5142.5</v>
      </c>
      <c r="AI17" s="360"/>
      <c r="AJ17" s="363">
        <v>13313.214285714286</v>
      </c>
      <c r="AK17" s="361">
        <v>0</v>
      </c>
      <c r="AL17" s="363">
        <v>17284.642857142859</v>
      </c>
      <c r="AM17" s="361">
        <v>0</v>
      </c>
      <c r="AO17" s="363">
        <v>1620</v>
      </c>
      <c r="AP17" s="360"/>
      <c r="AQ17" s="363">
        <v>2105.3571428571431</v>
      </c>
      <c r="AR17" s="360"/>
      <c r="AS17" s="363">
        <v>1210</v>
      </c>
      <c r="AT17" s="360"/>
      <c r="AU17" s="363">
        <v>4935.3571428571431</v>
      </c>
      <c r="AV17" s="361">
        <v>0</v>
      </c>
    </row>
    <row r="18" spans="1:48" x14ac:dyDescent="0.25">
      <c r="A18" s="594">
        <v>112752</v>
      </c>
      <c r="B18" s="356" t="s">
        <v>74</v>
      </c>
      <c r="C18">
        <v>2452</v>
      </c>
      <c r="D18" s="357" t="s">
        <v>840</v>
      </c>
      <c r="E18" s="358">
        <v>6276.6</v>
      </c>
      <c r="F18" s="359">
        <v>1620</v>
      </c>
      <c r="G18" s="360"/>
      <c r="H18" s="361"/>
      <c r="I18" s="358">
        <v>3551.7857142857142</v>
      </c>
      <c r="J18" s="359">
        <v>1245</v>
      </c>
      <c r="K18" s="360"/>
      <c r="L18" s="361"/>
      <c r="M18" s="358">
        <v>4056.25</v>
      </c>
      <c r="N18" s="359">
        <v>1421.75</v>
      </c>
      <c r="O18" s="360"/>
      <c r="P18" s="361"/>
      <c r="Q18" s="358">
        <v>13884.635714285714</v>
      </c>
      <c r="R18" s="362">
        <v>4286.75</v>
      </c>
      <c r="S18" s="360">
        <v>0</v>
      </c>
      <c r="T18" s="361"/>
      <c r="V18" s="363">
        <v>3024</v>
      </c>
      <c r="W18" s="360"/>
      <c r="X18" s="363">
        <v>2442.8571428571431</v>
      </c>
      <c r="Y18" s="360"/>
      <c r="Z18" s="363">
        <v>2087.25</v>
      </c>
      <c r="AA18" s="360"/>
      <c r="AB18" s="359">
        <v>7554.1071428571431</v>
      </c>
      <c r="AC18" s="360">
        <v>0</v>
      </c>
      <c r="AD18" s="363">
        <v>360</v>
      </c>
      <c r="AE18" s="360"/>
      <c r="AF18" s="363">
        <v>208.92857142857144</v>
      </c>
      <c r="AG18" s="360"/>
      <c r="AH18" s="363">
        <v>453.75</v>
      </c>
      <c r="AI18" s="360"/>
      <c r="AJ18" s="363">
        <v>1022.6785714285714</v>
      </c>
      <c r="AK18" s="361">
        <v>0</v>
      </c>
      <c r="AL18" s="363">
        <v>8576.7857142857138</v>
      </c>
      <c r="AM18" s="361">
        <v>0</v>
      </c>
      <c r="AO18" s="363">
        <v>1800</v>
      </c>
      <c r="AP18" s="360"/>
      <c r="AQ18" s="363">
        <v>883.92857142857144</v>
      </c>
      <c r="AR18" s="360"/>
      <c r="AS18" s="363">
        <v>1361.25</v>
      </c>
      <c r="AT18" s="360"/>
      <c r="AU18" s="363">
        <v>4045.1785714285716</v>
      </c>
      <c r="AV18" s="361">
        <v>0</v>
      </c>
    </row>
    <row r="19" spans="1:48" x14ac:dyDescent="0.25">
      <c r="A19" s="594">
        <v>112767</v>
      </c>
      <c r="B19" s="356" t="s">
        <v>616</v>
      </c>
      <c r="C19">
        <v>2473</v>
      </c>
      <c r="D19" s="357" t="s">
        <v>841</v>
      </c>
      <c r="E19" s="358">
        <v>11844</v>
      </c>
      <c r="F19" s="359">
        <v>1980</v>
      </c>
      <c r="G19" s="360"/>
      <c r="H19" s="361"/>
      <c r="I19" s="358">
        <v>13050</v>
      </c>
      <c r="J19" s="359">
        <v>4050</v>
      </c>
      <c r="K19" s="360"/>
      <c r="L19" s="361"/>
      <c r="M19" s="358">
        <v>9900</v>
      </c>
      <c r="N19" s="359">
        <v>2970</v>
      </c>
      <c r="O19" s="360"/>
      <c r="P19" s="361"/>
      <c r="Q19" s="358">
        <v>34794</v>
      </c>
      <c r="R19" s="362">
        <v>9000</v>
      </c>
      <c r="S19" s="360">
        <v>0</v>
      </c>
      <c r="T19" s="361"/>
      <c r="V19" s="363">
        <v>4284</v>
      </c>
      <c r="W19" s="360"/>
      <c r="X19" s="363">
        <v>2925</v>
      </c>
      <c r="Y19" s="360"/>
      <c r="Z19" s="363">
        <v>2994.75</v>
      </c>
      <c r="AA19" s="360"/>
      <c r="AB19" s="359">
        <v>10203.75</v>
      </c>
      <c r="AC19" s="360">
        <v>0</v>
      </c>
      <c r="AD19" s="363">
        <v>6120</v>
      </c>
      <c r="AE19" s="360"/>
      <c r="AF19" s="363">
        <v>6525</v>
      </c>
      <c r="AG19" s="360"/>
      <c r="AH19" s="363">
        <v>4537.5</v>
      </c>
      <c r="AI19" s="360"/>
      <c r="AJ19" s="363">
        <v>17182.5</v>
      </c>
      <c r="AK19" s="361">
        <v>0</v>
      </c>
      <c r="AL19" s="363">
        <v>27386.25</v>
      </c>
      <c r="AM19" s="361">
        <v>0</v>
      </c>
      <c r="AO19" s="363">
        <v>900</v>
      </c>
      <c r="AP19" s="360"/>
      <c r="AQ19" s="363">
        <v>1800</v>
      </c>
      <c r="AR19" s="360"/>
      <c r="AS19" s="363">
        <v>756.25</v>
      </c>
      <c r="AT19" s="360"/>
      <c r="AU19" s="363">
        <v>3456.25</v>
      </c>
      <c r="AV19" s="361">
        <v>0</v>
      </c>
    </row>
    <row r="20" spans="1:48" x14ac:dyDescent="0.25">
      <c r="A20" s="594">
        <v>131799</v>
      </c>
      <c r="B20" s="356" t="s">
        <v>63</v>
      </c>
      <c r="C20">
        <v>2003</v>
      </c>
      <c r="D20" s="357" t="s">
        <v>842</v>
      </c>
      <c r="E20" s="358">
        <v>6300</v>
      </c>
      <c r="F20" s="359">
        <v>2520</v>
      </c>
      <c r="G20" s="360"/>
      <c r="H20" s="361"/>
      <c r="I20" s="358">
        <v>5175</v>
      </c>
      <c r="J20" s="359">
        <v>2025</v>
      </c>
      <c r="K20" s="360"/>
      <c r="L20" s="361"/>
      <c r="M20" s="358">
        <v>5280</v>
      </c>
      <c r="N20" s="359">
        <v>1980</v>
      </c>
      <c r="O20" s="360"/>
      <c r="P20" s="361"/>
      <c r="Q20" s="358">
        <v>16755</v>
      </c>
      <c r="R20" s="362">
        <v>6525</v>
      </c>
      <c r="S20" s="360">
        <v>0</v>
      </c>
      <c r="T20" s="361"/>
      <c r="V20" s="363">
        <v>0</v>
      </c>
      <c r="W20" s="360"/>
      <c r="X20" s="363">
        <v>0</v>
      </c>
      <c r="Y20" s="360"/>
      <c r="Z20" s="363">
        <v>0</v>
      </c>
      <c r="AA20" s="360"/>
      <c r="AB20" s="359">
        <v>0</v>
      </c>
      <c r="AC20" s="360">
        <v>0</v>
      </c>
      <c r="AD20" s="363">
        <v>1080</v>
      </c>
      <c r="AE20" s="360"/>
      <c r="AF20" s="363">
        <v>675</v>
      </c>
      <c r="AG20" s="360"/>
      <c r="AH20" s="363">
        <v>605</v>
      </c>
      <c r="AI20" s="360"/>
      <c r="AJ20" s="363">
        <v>2360</v>
      </c>
      <c r="AK20" s="361">
        <v>0</v>
      </c>
      <c r="AL20" s="363">
        <v>2360</v>
      </c>
      <c r="AM20" s="361">
        <v>0</v>
      </c>
      <c r="AO20" s="363">
        <v>0</v>
      </c>
      <c r="AP20" s="360"/>
      <c r="AQ20" s="363">
        <v>0</v>
      </c>
      <c r="AR20" s="360"/>
      <c r="AS20" s="363">
        <v>0</v>
      </c>
      <c r="AT20" s="360"/>
      <c r="AU20" s="363">
        <v>0</v>
      </c>
      <c r="AV20" s="361">
        <v>0</v>
      </c>
    </row>
    <row r="21" spans="1:48" x14ac:dyDescent="0.25">
      <c r="A21" s="594">
        <v>112759</v>
      </c>
      <c r="B21" s="356" t="s">
        <v>78</v>
      </c>
      <c r="C21">
        <v>2462</v>
      </c>
      <c r="D21" s="357" t="s">
        <v>843</v>
      </c>
      <c r="E21" s="358">
        <v>7330.5</v>
      </c>
      <c r="F21" s="359">
        <v>1980</v>
      </c>
      <c r="G21" s="360"/>
      <c r="H21" s="361"/>
      <c r="I21" s="358">
        <v>7376.7857142857138</v>
      </c>
      <c r="J21" s="359">
        <v>3150</v>
      </c>
      <c r="K21" s="360"/>
      <c r="L21" s="361"/>
      <c r="M21" s="358">
        <v>6765</v>
      </c>
      <c r="N21" s="359">
        <v>1828.75</v>
      </c>
      <c r="O21" s="360"/>
      <c r="P21" s="361"/>
      <c r="Q21" s="358">
        <v>21472.285714285714</v>
      </c>
      <c r="R21" s="362">
        <v>6958.75</v>
      </c>
      <c r="S21" s="360">
        <v>0</v>
      </c>
      <c r="T21" s="361"/>
      <c r="V21" s="363">
        <v>540</v>
      </c>
      <c r="W21" s="360"/>
      <c r="X21" s="363">
        <v>450</v>
      </c>
      <c r="Y21" s="360"/>
      <c r="Z21" s="363">
        <v>302.5</v>
      </c>
      <c r="AA21" s="360"/>
      <c r="AB21" s="359">
        <v>1292.5</v>
      </c>
      <c r="AC21" s="360">
        <v>0</v>
      </c>
      <c r="AD21" s="363">
        <v>360</v>
      </c>
      <c r="AE21" s="360"/>
      <c r="AF21" s="363">
        <v>900</v>
      </c>
      <c r="AG21" s="360"/>
      <c r="AH21" s="363">
        <v>302.5</v>
      </c>
      <c r="AI21" s="360"/>
      <c r="AJ21" s="363">
        <v>1562.5</v>
      </c>
      <c r="AK21" s="361">
        <v>0</v>
      </c>
      <c r="AL21" s="363">
        <v>2855</v>
      </c>
      <c r="AM21" s="361">
        <v>0</v>
      </c>
      <c r="AO21" s="363">
        <v>0</v>
      </c>
      <c r="AP21" s="360"/>
      <c r="AQ21" s="363">
        <v>208.92857142857144</v>
      </c>
      <c r="AR21" s="360"/>
      <c r="AS21" s="363">
        <v>0</v>
      </c>
      <c r="AT21" s="360"/>
      <c r="AU21" s="363">
        <v>208.92857142857144</v>
      </c>
      <c r="AV21" s="361">
        <v>0</v>
      </c>
    </row>
    <row r="22" spans="1:48" x14ac:dyDescent="0.25">
      <c r="A22" s="594">
        <v>112770</v>
      </c>
      <c r="B22" s="356" t="s">
        <v>81</v>
      </c>
      <c r="C22">
        <v>2505</v>
      </c>
      <c r="D22" s="357" t="s">
        <v>844</v>
      </c>
      <c r="E22" s="358">
        <v>10719</v>
      </c>
      <c r="F22" s="359">
        <v>4320</v>
      </c>
      <c r="G22" s="360"/>
      <c r="H22" s="361"/>
      <c r="I22" s="358">
        <v>10126.071428571428</v>
      </c>
      <c r="J22" s="359">
        <v>4017.8571428571427</v>
      </c>
      <c r="K22" s="360"/>
      <c r="L22" s="361"/>
      <c r="M22" s="358">
        <v>8621.25</v>
      </c>
      <c r="N22" s="359">
        <v>3176.25</v>
      </c>
      <c r="O22" s="360"/>
      <c r="P22" s="361"/>
      <c r="Q22" s="358">
        <v>29466.321428571428</v>
      </c>
      <c r="R22" s="362">
        <v>11514.107142857143</v>
      </c>
      <c r="S22" s="360">
        <v>0</v>
      </c>
      <c r="T22" s="361"/>
      <c r="V22" s="363">
        <v>4500</v>
      </c>
      <c r="W22" s="360"/>
      <c r="X22" s="363">
        <v>2925</v>
      </c>
      <c r="Y22" s="360"/>
      <c r="Z22" s="363">
        <v>3478.75</v>
      </c>
      <c r="AA22" s="360"/>
      <c r="AB22" s="359">
        <v>10903.75</v>
      </c>
      <c r="AC22" s="360">
        <v>0</v>
      </c>
      <c r="AD22" s="363">
        <v>3420</v>
      </c>
      <c r="AE22" s="360"/>
      <c r="AF22" s="363">
        <v>2250</v>
      </c>
      <c r="AG22" s="360"/>
      <c r="AH22" s="363">
        <v>2420</v>
      </c>
      <c r="AI22" s="360"/>
      <c r="AJ22" s="363">
        <v>8090</v>
      </c>
      <c r="AK22" s="361">
        <v>0</v>
      </c>
      <c r="AL22" s="363">
        <v>18993.75</v>
      </c>
      <c r="AM22" s="361">
        <v>0</v>
      </c>
      <c r="AO22" s="363">
        <v>1080</v>
      </c>
      <c r="AP22" s="360"/>
      <c r="AQ22" s="363">
        <v>1575</v>
      </c>
      <c r="AR22" s="360"/>
      <c r="AS22" s="363">
        <v>605</v>
      </c>
      <c r="AT22" s="360"/>
      <c r="AU22" s="363">
        <v>3260</v>
      </c>
      <c r="AV22" s="361">
        <v>0</v>
      </c>
    </row>
    <row r="23" spans="1:48" x14ac:dyDescent="0.25">
      <c r="A23" s="594">
        <v>131401</v>
      </c>
      <c r="B23" s="356" t="s">
        <v>62</v>
      </c>
      <c r="C23">
        <v>2001</v>
      </c>
      <c r="D23" s="357" t="s">
        <v>845</v>
      </c>
      <c r="E23" s="358">
        <v>9180</v>
      </c>
      <c r="F23" s="359">
        <v>3240</v>
      </c>
      <c r="G23" s="360"/>
      <c r="H23" s="361"/>
      <c r="I23" s="358">
        <v>7505.3571428571422</v>
      </c>
      <c r="J23" s="359">
        <v>1992.8571428571429</v>
      </c>
      <c r="K23" s="360"/>
      <c r="L23" s="361"/>
      <c r="M23" s="358">
        <v>7191.25</v>
      </c>
      <c r="N23" s="359">
        <v>2598.75</v>
      </c>
      <c r="O23" s="360"/>
      <c r="P23" s="361"/>
      <c r="Q23" s="358">
        <v>23876.607142857141</v>
      </c>
      <c r="R23" s="362">
        <v>7831.6071428571431</v>
      </c>
      <c r="S23" s="360">
        <v>0</v>
      </c>
      <c r="T23" s="361"/>
      <c r="V23" s="363">
        <v>5760</v>
      </c>
      <c r="W23" s="360"/>
      <c r="X23" s="363">
        <v>4371.4285714285716</v>
      </c>
      <c r="Y23" s="360"/>
      <c r="Z23" s="363">
        <v>4386.25</v>
      </c>
      <c r="AA23" s="360"/>
      <c r="AB23" s="359">
        <v>14517.678571428572</v>
      </c>
      <c r="AC23" s="360">
        <v>0</v>
      </c>
      <c r="AD23" s="363">
        <v>5760</v>
      </c>
      <c r="AE23" s="360"/>
      <c r="AF23" s="363">
        <v>2908.9285714285711</v>
      </c>
      <c r="AG23" s="360"/>
      <c r="AH23" s="363">
        <v>3781.25</v>
      </c>
      <c r="AI23" s="360"/>
      <c r="AJ23" s="363">
        <v>12450.178571428571</v>
      </c>
      <c r="AK23" s="361">
        <v>0</v>
      </c>
      <c r="AL23" s="363">
        <v>26967.857142857145</v>
      </c>
      <c r="AM23" s="361">
        <v>0</v>
      </c>
      <c r="AO23" s="363">
        <v>180</v>
      </c>
      <c r="AP23" s="360"/>
      <c r="AQ23" s="363">
        <v>208.92857142857144</v>
      </c>
      <c r="AR23" s="360"/>
      <c r="AS23" s="363">
        <v>0</v>
      </c>
      <c r="AT23" s="360"/>
      <c r="AU23" s="363">
        <v>388.92857142857144</v>
      </c>
      <c r="AV23" s="361">
        <v>0</v>
      </c>
    </row>
    <row r="24" spans="1:48" x14ac:dyDescent="0.25">
      <c r="A24" s="594">
        <v>112733</v>
      </c>
      <c r="B24" s="356" t="s">
        <v>68</v>
      </c>
      <c r="C24">
        <v>2429</v>
      </c>
      <c r="D24" s="357" t="s">
        <v>846</v>
      </c>
      <c r="E24" s="358">
        <v>10649.25</v>
      </c>
      <c r="F24" s="359">
        <v>720</v>
      </c>
      <c r="G24" s="360"/>
      <c r="H24" s="361"/>
      <c r="I24" s="358">
        <v>7875</v>
      </c>
      <c r="J24" s="359">
        <v>900</v>
      </c>
      <c r="K24" s="360"/>
      <c r="L24" s="361"/>
      <c r="M24" s="358">
        <v>7095</v>
      </c>
      <c r="N24" s="359">
        <v>825</v>
      </c>
      <c r="O24" s="360"/>
      <c r="P24" s="361"/>
      <c r="Q24" s="358">
        <v>25619.25</v>
      </c>
      <c r="R24" s="362">
        <v>2445</v>
      </c>
      <c r="S24" s="360">
        <v>0</v>
      </c>
      <c r="T24" s="361"/>
      <c r="V24" s="363">
        <v>8235</v>
      </c>
      <c r="W24" s="360"/>
      <c r="X24" s="363">
        <v>5400</v>
      </c>
      <c r="Y24" s="360"/>
      <c r="Z24" s="363">
        <v>4386.25</v>
      </c>
      <c r="AA24" s="360"/>
      <c r="AB24" s="359">
        <v>18021.25</v>
      </c>
      <c r="AC24" s="360">
        <v>0</v>
      </c>
      <c r="AD24" s="363">
        <v>2160</v>
      </c>
      <c r="AE24" s="360"/>
      <c r="AF24" s="363">
        <v>2475</v>
      </c>
      <c r="AG24" s="360"/>
      <c r="AH24" s="363">
        <v>1512.5</v>
      </c>
      <c r="AI24" s="360"/>
      <c r="AJ24" s="363">
        <v>6147.5</v>
      </c>
      <c r="AK24" s="361">
        <v>0</v>
      </c>
      <c r="AL24" s="363">
        <v>24168.75</v>
      </c>
      <c r="AM24" s="361">
        <v>0</v>
      </c>
      <c r="AO24" s="363">
        <v>345</v>
      </c>
      <c r="AP24" s="360"/>
      <c r="AQ24" s="363">
        <v>450</v>
      </c>
      <c r="AR24" s="360"/>
      <c r="AS24" s="363">
        <v>0</v>
      </c>
      <c r="AT24" s="360"/>
      <c r="AU24" s="363">
        <v>795</v>
      </c>
      <c r="AV24" s="361">
        <v>0</v>
      </c>
    </row>
    <row r="25" spans="1:48" x14ac:dyDescent="0.25">
      <c r="A25" s="594">
        <v>112745</v>
      </c>
      <c r="B25" s="364" t="s">
        <v>72</v>
      </c>
      <c r="C25">
        <v>2444</v>
      </c>
      <c r="D25" t="s">
        <v>847</v>
      </c>
      <c r="E25" s="358">
        <v>6300</v>
      </c>
      <c r="F25" s="359">
        <v>2880</v>
      </c>
      <c r="G25" s="360"/>
      <c r="H25" s="361"/>
      <c r="I25" s="358">
        <v>6975</v>
      </c>
      <c r="J25" s="359">
        <v>3600</v>
      </c>
      <c r="K25" s="360"/>
      <c r="L25" s="361"/>
      <c r="M25" s="358">
        <v>5293.75</v>
      </c>
      <c r="N25" s="359">
        <v>2420</v>
      </c>
      <c r="O25" s="360"/>
      <c r="P25" s="361"/>
      <c r="Q25" s="358">
        <v>18568.75</v>
      </c>
      <c r="R25" s="362">
        <v>8900</v>
      </c>
      <c r="S25" s="360">
        <v>0</v>
      </c>
      <c r="T25" s="361"/>
      <c r="V25" s="363">
        <v>1260</v>
      </c>
      <c r="W25" s="360"/>
      <c r="X25" s="363">
        <v>1575</v>
      </c>
      <c r="Y25" s="360"/>
      <c r="Z25" s="363">
        <v>1058.75</v>
      </c>
      <c r="AA25" s="360"/>
      <c r="AB25" s="359">
        <v>3893.75</v>
      </c>
      <c r="AC25" s="360">
        <v>0</v>
      </c>
      <c r="AD25" s="363">
        <v>4860</v>
      </c>
      <c r="AE25" s="360"/>
      <c r="AF25" s="363">
        <v>3150</v>
      </c>
      <c r="AG25" s="360"/>
      <c r="AH25" s="363">
        <v>4083.75</v>
      </c>
      <c r="AI25" s="360"/>
      <c r="AJ25" s="363">
        <v>12093.75</v>
      </c>
      <c r="AK25" s="361">
        <v>0</v>
      </c>
      <c r="AL25" s="363">
        <v>15987.5</v>
      </c>
      <c r="AM25" s="361">
        <v>0</v>
      </c>
      <c r="AO25" s="363">
        <v>540</v>
      </c>
      <c r="AP25" s="360"/>
      <c r="AQ25" s="363">
        <v>225</v>
      </c>
      <c r="AR25" s="360"/>
      <c r="AS25" s="363">
        <v>453.75</v>
      </c>
      <c r="AT25" s="360"/>
      <c r="AU25" s="363">
        <v>1218.75</v>
      </c>
      <c r="AV25" s="361">
        <v>0</v>
      </c>
    </row>
    <row r="26" spans="1:48" x14ac:dyDescent="0.25">
      <c r="A26" s="594">
        <v>112915</v>
      </c>
      <c r="B26" s="364" t="s">
        <v>624</v>
      </c>
      <c r="C26">
        <v>3526</v>
      </c>
      <c r="D26" t="s">
        <v>848</v>
      </c>
      <c r="E26" s="358">
        <v>6120</v>
      </c>
      <c r="F26" s="359">
        <v>360</v>
      </c>
      <c r="G26" s="360"/>
      <c r="H26" s="361"/>
      <c r="I26" s="358">
        <v>5576.7857142857138</v>
      </c>
      <c r="J26" s="359">
        <v>225</v>
      </c>
      <c r="K26" s="360"/>
      <c r="L26" s="361"/>
      <c r="M26" s="358">
        <v>4950</v>
      </c>
      <c r="N26" s="359">
        <v>302.5</v>
      </c>
      <c r="O26" s="360"/>
      <c r="P26" s="361"/>
      <c r="Q26" s="358">
        <v>16646.785714285714</v>
      </c>
      <c r="R26" s="362">
        <v>887.5</v>
      </c>
      <c r="S26" s="360">
        <v>0</v>
      </c>
      <c r="T26" s="361"/>
      <c r="V26" s="363">
        <v>2880</v>
      </c>
      <c r="W26" s="360"/>
      <c r="X26" s="363">
        <v>2250</v>
      </c>
      <c r="Y26" s="360"/>
      <c r="Z26" s="363">
        <v>2722.5</v>
      </c>
      <c r="AA26" s="360"/>
      <c r="AB26" s="359">
        <v>7852.5</v>
      </c>
      <c r="AC26" s="360">
        <v>0</v>
      </c>
      <c r="AD26" s="363">
        <v>540</v>
      </c>
      <c r="AE26" s="360"/>
      <c r="AF26" s="363">
        <v>1076.7857142857144</v>
      </c>
      <c r="AG26" s="360"/>
      <c r="AH26" s="363">
        <v>302.5</v>
      </c>
      <c r="AI26" s="360"/>
      <c r="AJ26" s="363">
        <v>1919.2857142857144</v>
      </c>
      <c r="AK26" s="361">
        <v>0</v>
      </c>
      <c r="AL26" s="363">
        <v>9771.7857142857138</v>
      </c>
      <c r="AM26" s="361">
        <v>0</v>
      </c>
      <c r="AO26" s="363">
        <v>180</v>
      </c>
      <c r="AP26" s="360"/>
      <c r="AQ26" s="363">
        <v>225</v>
      </c>
      <c r="AR26" s="360"/>
      <c r="AS26" s="363">
        <v>151.25</v>
      </c>
      <c r="AT26" s="360"/>
      <c r="AU26" s="363">
        <v>556.25</v>
      </c>
      <c r="AV26" s="361">
        <v>0</v>
      </c>
    </row>
    <row r="27" spans="1:48" ht="15" thickBot="1" x14ac:dyDescent="0.4">
      <c r="A27" s="543" t="s">
        <v>1203</v>
      </c>
      <c r="B27" s="347" t="s">
        <v>263</v>
      </c>
      <c r="C27" s="348"/>
      <c r="D27" s="348"/>
      <c r="E27" s="365">
        <v>217022.01</v>
      </c>
      <c r="F27" s="366">
        <v>56523</v>
      </c>
      <c r="G27" s="367">
        <v>0</v>
      </c>
      <c r="H27" s="368"/>
      <c r="I27" s="365">
        <v>198699.64285714287</v>
      </c>
      <c r="J27" s="366">
        <v>56561.5</v>
      </c>
      <c r="K27" s="367">
        <v>0</v>
      </c>
      <c r="L27" s="368"/>
      <c r="M27" s="365">
        <v>172111.51136363638</v>
      </c>
      <c r="N27" s="366">
        <v>46235.291666666664</v>
      </c>
      <c r="O27" s="367">
        <v>0</v>
      </c>
      <c r="P27" s="368"/>
      <c r="Q27" s="365">
        <v>587833.1642207792</v>
      </c>
      <c r="R27" s="369">
        <v>159319.79166666666</v>
      </c>
      <c r="S27" s="367">
        <v>0</v>
      </c>
      <c r="T27" s="368"/>
      <c r="U27" s="348"/>
      <c r="V27" s="370">
        <v>99840</v>
      </c>
      <c r="W27" s="367">
        <v>0</v>
      </c>
      <c r="X27" s="370">
        <v>78205.71428571429</v>
      </c>
      <c r="Y27" s="367">
        <v>0</v>
      </c>
      <c r="Z27" s="370">
        <v>72785.625</v>
      </c>
      <c r="AA27" s="367">
        <v>0</v>
      </c>
      <c r="AB27" s="366">
        <v>250831.33928571429</v>
      </c>
      <c r="AC27" s="367">
        <v>0</v>
      </c>
      <c r="AD27" s="370">
        <v>69882</v>
      </c>
      <c r="AE27" s="367">
        <v>0</v>
      </c>
      <c r="AF27" s="370">
        <v>48905.357142857145</v>
      </c>
      <c r="AG27" s="367">
        <v>0</v>
      </c>
      <c r="AH27" s="370">
        <v>52799.541666666672</v>
      </c>
      <c r="AI27" s="367">
        <v>0</v>
      </c>
      <c r="AJ27" s="370">
        <v>171586.89880952382</v>
      </c>
      <c r="AK27" s="368">
        <v>0</v>
      </c>
      <c r="AL27" s="370">
        <v>422418.23809523811</v>
      </c>
      <c r="AM27" s="368">
        <v>0</v>
      </c>
      <c r="AN27" s="348"/>
      <c r="AO27" s="370">
        <v>59277</v>
      </c>
      <c r="AP27" s="367">
        <v>0</v>
      </c>
      <c r="AQ27" s="370">
        <v>36070.714285714283</v>
      </c>
      <c r="AR27" s="367">
        <v>0</v>
      </c>
      <c r="AS27" s="370">
        <v>43092.958333333336</v>
      </c>
      <c r="AT27" s="367">
        <v>0</v>
      </c>
      <c r="AU27" s="370">
        <v>138440.67261904763</v>
      </c>
      <c r="AV27" s="368">
        <v>0</v>
      </c>
    </row>
    <row r="28" spans="1:48" ht="13" thickTop="1" x14ac:dyDescent="0.25">
      <c r="A28" s="594">
        <v>146715</v>
      </c>
      <c r="B28" s="364" t="s">
        <v>124</v>
      </c>
      <c r="C28">
        <v>2629</v>
      </c>
      <c r="D28" t="s">
        <v>849</v>
      </c>
      <c r="E28" s="358">
        <v>14040</v>
      </c>
      <c r="F28" s="359">
        <v>0</v>
      </c>
      <c r="G28" s="360"/>
      <c r="H28" s="361"/>
      <c r="I28" s="358">
        <v>13500</v>
      </c>
      <c r="J28" s="359">
        <v>0</v>
      </c>
      <c r="K28" s="360"/>
      <c r="L28" s="361"/>
      <c r="M28" s="358">
        <v>12705</v>
      </c>
      <c r="N28" s="359">
        <v>0</v>
      </c>
      <c r="O28" s="360"/>
      <c r="P28" s="361"/>
      <c r="Q28" s="358">
        <v>40245</v>
      </c>
      <c r="R28" s="362">
        <v>0</v>
      </c>
      <c r="S28" s="360">
        <v>0</v>
      </c>
      <c r="T28" s="361"/>
      <c r="V28" s="363">
        <v>10440</v>
      </c>
      <c r="W28" s="360"/>
      <c r="X28" s="363">
        <v>10350</v>
      </c>
      <c r="Y28" s="360"/>
      <c r="Z28" s="363">
        <v>9226.25</v>
      </c>
      <c r="AA28" s="360"/>
      <c r="AB28" s="359">
        <v>30016.25</v>
      </c>
      <c r="AC28" s="360">
        <v>0</v>
      </c>
      <c r="AD28" s="363">
        <v>2340</v>
      </c>
      <c r="AE28" s="360"/>
      <c r="AF28" s="363">
        <v>2700</v>
      </c>
      <c r="AG28" s="360"/>
      <c r="AH28" s="363">
        <v>2117.5</v>
      </c>
      <c r="AI28" s="360"/>
      <c r="AJ28" s="363">
        <v>7157.5</v>
      </c>
      <c r="AK28" s="361">
        <v>0</v>
      </c>
      <c r="AL28" s="363">
        <v>37173.75</v>
      </c>
      <c r="AM28" s="361">
        <v>0</v>
      </c>
      <c r="AO28" s="363">
        <v>9720</v>
      </c>
      <c r="AP28" s="360"/>
      <c r="AQ28" s="363">
        <v>2700</v>
      </c>
      <c r="AR28" s="360"/>
      <c r="AS28" s="363">
        <v>8470</v>
      </c>
      <c r="AT28" s="360"/>
      <c r="AU28" s="363">
        <v>20890</v>
      </c>
      <c r="AV28" s="361">
        <v>0</v>
      </c>
    </row>
    <row r="29" spans="1:48" x14ac:dyDescent="0.25">
      <c r="A29" s="594">
        <v>145806</v>
      </c>
      <c r="B29" s="364" t="s">
        <v>630</v>
      </c>
      <c r="C29">
        <v>2509</v>
      </c>
      <c r="D29" t="s">
        <v>850</v>
      </c>
      <c r="E29" s="358">
        <v>4710.8099999999995</v>
      </c>
      <c r="F29" s="359">
        <v>1440</v>
      </c>
      <c r="G29" s="360"/>
      <c r="H29" s="361"/>
      <c r="I29" s="358">
        <v>4050</v>
      </c>
      <c r="J29" s="359">
        <v>924</v>
      </c>
      <c r="K29" s="360"/>
      <c r="L29" s="361"/>
      <c r="M29" s="358">
        <v>4123.636363636364</v>
      </c>
      <c r="N29" s="359">
        <v>1155</v>
      </c>
      <c r="O29" s="360"/>
      <c r="P29" s="361"/>
      <c r="Q29" s="358">
        <v>12884.446363636363</v>
      </c>
      <c r="R29" s="362">
        <v>3519</v>
      </c>
      <c r="S29" s="360">
        <v>0</v>
      </c>
      <c r="T29" s="361"/>
      <c r="V29" s="363">
        <v>1080</v>
      </c>
      <c r="W29" s="360"/>
      <c r="X29" s="363">
        <v>675</v>
      </c>
      <c r="Y29" s="360"/>
      <c r="Z29" s="363">
        <v>742.5</v>
      </c>
      <c r="AA29" s="360"/>
      <c r="AB29" s="359">
        <v>2497.5</v>
      </c>
      <c r="AC29" s="360">
        <v>0</v>
      </c>
      <c r="AD29" s="363">
        <v>540</v>
      </c>
      <c r="AE29" s="360"/>
      <c r="AF29" s="363">
        <v>900</v>
      </c>
      <c r="AG29" s="360"/>
      <c r="AH29" s="363">
        <v>302.5</v>
      </c>
      <c r="AI29" s="360"/>
      <c r="AJ29" s="363">
        <v>1742.5</v>
      </c>
      <c r="AK29" s="361">
        <v>0</v>
      </c>
      <c r="AL29" s="363">
        <v>4240</v>
      </c>
      <c r="AM29" s="361">
        <v>0</v>
      </c>
      <c r="AO29" s="363">
        <v>3564</v>
      </c>
      <c r="AP29" s="360"/>
      <c r="AQ29" s="363">
        <v>2250</v>
      </c>
      <c r="AR29" s="360"/>
      <c r="AS29" s="363">
        <v>1936</v>
      </c>
      <c r="AT29" s="360"/>
      <c r="AU29" s="363">
        <v>7750</v>
      </c>
      <c r="AV29" s="361">
        <v>0</v>
      </c>
    </row>
    <row r="30" spans="1:48" x14ac:dyDescent="0.25">
      <c r="A30" s="594">
        <v>146079</v>
      </c>
      <c r="B30" s="364" t="s">
        <v>631</v>
      </c>
      <c r="C30">
        <v>2021</v>
      </c>
      <c r="D30" t="s">
        <v>851</v>
      </c>
      <c r="E30" s="358">
        <v>9230.25</v>
      </c>
      <c r="F30" s="359">
        <v>900</v>
      </c>
      <c r="G30" s="360"/>
      <c r="H30" s="361"/>
      <c r="I30" s="358">
        <v>8389.2857142857156</v>
      </c>
      <c r="J30" s="359">
        <v>900</v>
      </c>
      <c r="K30" s="360"/>
      <c r="L30" s="361"/>
      <c r="M30" s="358">
        <v>6985</v>
      </c>
      <c r="N30" s="359">
        <v>907.5</v>
      </c>
      <c r="O30" s="360"/>
      <c r="P30" s="361"/>
      <c r="Q30" s="358">
        <v>24604.535714285717</v>
      </c>
      <c r="R30" s="362">
        <v>2707.5</v>
      </c>
      <c r="S30" s="360">
        <v>0</v>
      </c>
      <c r="T30" s="361"/>
      <c r="V30" s="363">
        <v>9180</v>
      </c>
      <c r="W30" s="360"/>
      <c r="X30" s="363">
        <v>6091.0714285714284</v>
      </c>
      <c r="Y30" s="360"/>
      <c r="Z30" s="363">
        <v>6655</v>
      </c>
      <c r="AA30" s="360"/>
      <c r="AB30" s="359">
        <v>21926.071428571428</v>
      </c>
      <c r="AC30" s="360">
        <v>0</v>
      </c>
      <c r="AD30" s="363">
        <v>900</v>
      </c>
      <c r="AE30" s="360"/>
      <c r="AF30" s="363">
        <v>417.85714285714289</v>
      </c>
      <c r="AG30" s="360"/>
      <c r="AH30" s="363">
        <v>453.75</v>
      </c>
      <c r="AI30" s="360"/>
      <c r="AJ30" s="363">
        <v>1771.6071428571429</v>
      </c>
      <c r="AK30" s="361">
        <v>0</v>
      </c>
      <c r="AL30" s="363">
        <v>23697.678571428569</v>
      </c>
      <c r="AM30" s="361">
        <v>0</v>
      </c>
      <c r="AO30" s="363">
        <v>360</v>
      </c>
      <c r="AP30" s="360"/>
      <c r="AQ30" s="363">
        <v>208.92857142857144</v>
      </c>
      <c r="AR30" s="360"/>
      <c r="AS30" s="363">
        <v>302.5</v>
      </c>
      <c r="AT30" s="360"/>
      <c r="AU30" s="363">
        <v>871.42857142857144</v>
      </c>
      <c r="AV30" s="361">
        <v>0</v>
      </c>
    </row>
    <row r="31" spans="1:48" x14ac:dyDescent="0.25">
      <c r="A31" s="594">
        <v>146855</v>
      </c>
      <c r="B31" s="364" t="s">
        <v>117</v>
      </c>
      <c r="C31">
        <v>2464</v>
      </c>
      <c r="D31" t="s">
        <v>852</v>
      </c>
      <c r="E31" s="358">
        <v>5468.25</v>
      </c>
      <c r="F31" s="359">
        <v>2880</v>
      </c>
      <c r="G31" s="360"/>
      <c r="H31" s="361"/>
      <c r="I31" s="358">
        <v>4998.2142857142862</v>
      </c>
      <c r="J31" s="359">
        <v>3645</v>
      </c>
      <c r="K31" s="360"/>
      <c r="L31" s="361"/>
      <c r="M31" s="358">
        <v>4455</v>
      </c>
      <c r="N31" s="359">
        <v>2475</v>
      </c>
      <c r="O31" s="360"/>
      <c r="P31" s="361"/>
      <c r="Q31" s="358">
        <v>14921.464285714286</v>
      </c>
      <c r="R31" s="362">
        <v>9000</v>
      </c>
      <c r="S31" s="360">
        <v>0</v>
      </c>
      <c r="T31" s="361"/>
      <c r="V31" s="363">
        <v>1080</v>
      </c>
      <c r="W31" s="360"/>
      <c r="X31" s="363">
        <v>450</v>
      </c>
      <c r="Y31" s="360"/>
      <c r="Z31" s="363">
        <v>728.75</v>
      </c>
      <c r="AA31" s="360"/>
      <c r="AB31" s="359">
        <v>2258.75</v>
      </c>
      <c r="AC31" s="360">
        <v>0</v>
      </c>
      <c r="AD31" s="363">
        <v>4644</v>
      </c>
      <c r="AE31" s="360"/>
      <c r="AF31" s="363">
        <v>3423.2142857142858</v>
      </c>
      <c r="AG31" s="360"/>
      <c r="AH31" s="363">
        <v>3690.5</v>
      </c>
      <c r="AI31" s="360"/>
      <c r="AJ31" s="363">
        <v>11757.714285714286</v>
      </c>
      <c r="AK31" s="361">
        <v>0</v>
      </c>
      <c r="AL31" s="363">
        <v>14016.464285714286</v>
      </c>
      <c r="AM31" s="361">
        <v>0</v>
      </c>
      <c r="AO31" s="363">
        <v>288</v>
      </c>
      <c r="AP31" s="360"/>
      <c r="AQ31" s="363">
        <v>450</v>
      </c>
      <c r="AR31" s="360"/>
      <c r="AS31" s="363">
        <v>252.08333333333334</v>
      </c>
      <c r="AT31" s="360"/>
      <c r="AU31" s="363">
        <v>990.08333333333337</v>
      </c>
      <c r="AV31" s="361">
        <v>0</v>
      </c>
    </row>
    <row r="32" spans="1:48" x14ac:dyDescent="0.25">
      <c r="A32" s="594">
        <v>146877</v>
      </c>
      <c r="B32" s="364" t="s">
        <v>89</v>
      </c>
      <c r="C32">
        <v>2004</v>
      </c>
      <c r="D32" t="s">
        <v>853</v>
      </c>
      <c r="E32" s="358">
        <v>4500</v>
      </c>
      <c r="F32" s="359">
        <v>1800</v>
      </c>
      <c r="G32" s="360"/>
      <c r="H32" s="361"/>
      <c r="I32" s="358">
        <v>3825</v>
      </c>
      <c r="J32" s="359">
        <v>1575</v>
      </c>
      <c r="K32" s="360"/>
      <c r="L32" s="361"/>
      <c r="M32" s="358">
        <v>3327.5</v>
      </c>
      <c r="N32" s="359">
        <v>907.5</v>
      </c>
      <c r="O32" s="360"/>
      <c r="P32" s="361"/>
      <c r="Q32" s="358">
        <v>11652.5</v>
      </c>
      <c r="R32" s="362">
        <v>4282.5</v>
      </c>
      <c r="S32" s="360">
        <v>0</v>
      </c>
      <c r="T32" s="361"/>
      <c r="V32" s="363">
        <v>4140</v>
      </c>
      <c r="W32" s="360"/>
      <c r="X32" s="363">
        <v>1575</v>
      </c>
      <c r="Y32" s="360"/>
      <c r="Z32" s="363">
        <v>2571.25</v>
      </c>
      <c r="AA32" s="360"/>
      <c r="AB32" s="359">
        <v>8286.25</v>
      </c>
      <c r="AC32" s="360">
        <v>0</v>
      </c>
      <c r="AD32" s="363">
        <v>1800</v>
      </c>
      <c r="AE32" s="360"/>
      <c r="AF32" s="363">
        <v>2025</v>
      </c>
      <c r="AG32" s="360"/>
      <c r="AH32" s="363">
        <v>1361.25</v>
      </c>
      <c r="AI32" s="360"/>
      <c r="AJ32" s="363">
        <v>5186.25</v>
      </c>
      <c r="AK32" s="361">
        <v>0</v>
      </c>
      <c r="AL32" s="363">
        <v>13472.5</v>
      </c>
      <c r="AM32" s="361">
        <v>0</v>
      </c>
      <c r="AO32" s="363">
        <v>0</v>
      </c>
      <c r="AP32" s="360"/>
      <c r="AQ32" s="363">
        <v>0</v>
      </c>
      <c r="AR32" s="360"/>
      <c r="AS32" s="363">
        <v>0</v>
      </c>
      <c r="AT32" s="360"/>
      <c r="AU32" s="363">
        <v>0</v>
      </c>
      <c r="AV32" s="361">
        <v>0</v>
      </c>
    </row>
    <row r="33" spans="1:48" x14ac:dyDescent="0.25">
      <c r="A33" s="594">
        <v>148384</v>
      </c>
      <c r="B33" s="364" t="s">
        <v>632</v>
      </c>
      <c r="C33">
        <v>2432</v>
      </c>
      <c r="D33" t="s">
        <v>854</v>
      </c>
      <c r="E33" s="358">
        <v>9900</v>
      </c>
      <c r="F33" s="359">
        <v>2160</v>
      </c>
      <c r="G33" s="360"/>
      <c r="H33" s="361"/>
      <c r="I33" s="358">
        <v>8100</v>
      </c>
      <c r="J33" s="359">
        <v>2250</v>
      </c>
      <c r="K33" s="360"/>
      <c r="L33" s="361"/>
      <c r="M33" s="358">
        <v>7095</v>
      </c>
      <c r="N33" s="359">
        <v>1663.75</v>
      </c>
      <c r="O33" s="360"/>
      <c r="P33" s="361"/>
      <c r="Q33" s="358">
        <v>25095</v>
      </c>
      <c r="R33" s="362">
        <v>6073.75</v>
      </c>
      <c r="S33" s="360">
        <v>0</v>
      </c>
      <c r="T33" s="361"/>
      <c r="V33" s="363">
        <v>2850</v>
      </c>
      <c r="W33" s="360"/>
      <c r="X33" s="363">
        <v>2185.7142857142858</v>
      </c>
      <c r="Y33" s="360"/>
      <c r="Z33" s="363">
        <v>1512.5</v>
      </c>
      <c r="AA33" s="360"/>
      <c r="AB33" s="359">
        <v>6548.2142857142862</v>
      </c>
      <c r="AC33" s="360">
        <v>0</v>
      </c>
      <c r="AD33" s="363">
        <v>6465</v>
      </c>
      <c r="AE33" s="360"/>
      <c r="AF33" s="363">
        <v>4178.5714285714284</v>
      </c>
      <c r="AG33" s="360"/>
      <c r="AH33" s="363">
        <v>4840</v>
      </c>
      <c r="AI33" s="360"/>
      <c r="AJ33" s="363">
        <v>15483.571428571428</v>
      </c>
      <c r="AK33" s="361">
        <v>0</v>
      </c>
      <c r="AL33" s="363">
        <v>22031.785714285714</v>
      </c>
      <c r="AM33" s="361">
        <v>0</v>
      </c>
      <c r="AO33" s="363">
        <v>2490</v>
      </c>
      <c r="AP33" s="360"/>
      <c r="AQ33" s="363">
        <v>2507.1428571428569</v>
      </c>
      <c r="AR33" s="360"/>
      <c r="AS33" s="363">
        <v>0</v>
      </c>
      <c r="AT33" s="360"/>
      <c r="AU33" s="363">
        <v>4997.1428571428569</v>
      </c>
      <c r="AV33" s="361">
        <v>0</v>
      </c>
    </row>
    <row r="34" spans="1:48" x14ac:dyDescent="0.25">
      <c r="A34" s="594">
        <v>144624</v>
      </c>
      <c r="B34" s="364" t="s">
        <v>101</v>
      </c>
      <c r="C34">
        <v>2018</v>
      </c>
      <c r="D34" t="s">
        <v>855</v>
      </c>
      <c r="E34" s="358">
        <v>8291.25</v>
      </c>
      <c r="F34" s="359">
        <v>1800</v>
      </c>
      <c r="G34" s="360"/>
      <c r="H34" s="361"/>
      <c r="I34" s="358">
        <v>8292.8571428571431</v>
      </c>
      <c r="J34" s="359">
        <v>2925</v>
      </c>
      <c r="K34" s="360"/>
      <c r="L34" s="361"/>
      <c r="M34" s="358">
        <v>6531.25</v>
      </c>
      <c r="N34" s="359">
        <v>1815</v>
      </c>
      <c r="O34" s="360"/>
      <c r="P34" s="361"/>
      <c r="Q34" s="358">
        <v>23115.357142857145</v>
      </c>
      <c r="R34" s="362">
        <v>6540</v>
      </c>
      <c r="S34" s="360">
        <v>0</v>
      </c>
      <c r="T34" s="361"/>
      <c r="V34" s="363">
        <v>2880</v>
      </c>
      <c r="W34" s="360"/>
      <c r="X34" s="363">
        <v>2892.8571428571431</v>
      </c>
      <c r="Y34" s="360"/>
      <c r="Z34" s="363">
        <v>2268.75</v>
      </c>
      <c r="AA34" s="360"/>
      <c r="AB34" s="359">
        <v>8041.6071428571431</v>
      </c>
      <c r="AC34" s="360">
        <v>0</v>
      </c>
      <c r="AD34" s="363">
        <v>4860</v>
      </c>
      <c r="AE34" s="360"/>
      <c r="AF34" s="363">
        <v>4275</v>
      </c>
      <c r="AG34" s="360"/>
      <c r="AH34" s="363">
        <v>4235</v>
      </c>
      <c r="AI34" s="360"/>
      <c r="AJ34" s="363">
        <v>13370</v>
      </c>
      <c r="AK34" s="361">
        <v>0</v>
      </c>
      <c r="AL34" s="363">
        <v>21411.607142857145</v>
      </c>
      <c r="AM34" s="361">
        <v>0</v>
      </c>
      <c r="AO34" s="363">
        <v>360</v>
      </c>
      <c r="AP34" s="360"/>
      <c r="AQ34" s="363">
        <v>0</v>
      </c>
      <c r="AR34" s="360"/>
      <c r="AS34" s="363">
        <v>302.5</v>
      </c>
      <c r="AT34" s="360"/>
      <c r="AU34" s="363">
        <v>662.5</v>
      </c>
      <c r="AV34" s="361">
        <v>0</v>
      </c>
    </row>
    <row r="35" spans="1:48" x14ac:dyDescent="0.25">
      <c r="A35" s="594">
        <v>147119</v>
      </c>
      <c r="B35" s="364" t="s">
        <v>122</v>
      </c>
      <c r="C35">
        <v>2512</v>
      </c>
      <c r="D35" t="s">
        <v>856</v>
      </c>
      <c r="E35" s="358">
        <v>5760</v>
      </c>
      <c r="F35" s="359">
        <v>3528</v>
      </c>
      <c r="G35" s="360"/>
      <c r="H35" s="361"/>
      <c r="I35" s="358">
        <v>5850</v>
      </c>
      <c r="J35" s="359">
        <v>2160</v>
      </c>
      <c r="K35" s="360"/>
      <c r="L35" s="361"/>
      <c r="M35" s="358">
        <v>4950</v>
      </c>
      <c r="N35" s="359">
        <v>2510.75</v>
      </c>
      <c r="O35" s="360"/>
      <c r="P35" s="361"/>
      <c r="Q35" s="358">
        <v>16560</v>
      </c>
      <c r="R35" s="362">
        <v>8198.75</v>
      </c>
      <c r="S35" s="360">
        <v>0</v>
      </c>
      <c r="T35" s="361"/>
      <c r="V35" s="363">
        <v>0</v>
      </c>
      <c r="W35" s="360"/>
      <c r="X35" s="363">
        <v>0</v>
      </c>
      <c r="Y35" s="360"/>
      <c r="Z35" s="363">
        <v>0</v>
      </c>
      <c r="AA35" s="360"/>
      <c r="AB35" s="359">
        <v>0</v>
      </c>
      <c r="AC35" s="360">
        <v>0</v>
      </c>
      <c r="AD35" s="363">
        <v>1800</v>
      </c>
      <c r="AE35" s="360"/>
      <c r="AF35" s="363">
        <v>1125</v>
      </c>
      <c r="AG35" s="360"/>
      <c r="AH35" s="363">
        <v>1361.25</v>
      </c>
      <c r="AI35" s="360"/>
      <c r="AJ35" s="363">
        <v>4286.25</v>
      </c>
      <c r="AK35" s="361">
        <v>0</v>
      </c>
      <c r="AL35" s="363">
        <v>4286.25</v>
      </c>
      <c r="AM35" s="361">
        <v>0</v>
      </c>
      <c r="AO35" s="363">
        <v>180</v>
      </c>
      <c r="AP35" s="360"/>
      <c r="AQ35" s="363">
        <v>0</v>
      </c>
      <c r="AR35" s="360"/>
      <c r="AS35" s="363">
        <v>151.25</v>
      </c>
      <c r="AT35" s="360"/>
      <c r="AU35" s="363">
        <v>331.25</v>
      </c>
      <c r="AV35" s="361">
        <v>0</v>
      </c>
    </row>
    <row r="36" spans="1:48" x14ac:dyDescent="0.25">
      <c r="A36" s="594">
        <v>140842</v>
      </c>
      <c r="B36" s="364" t="s">
        <v>633</v>
      </c>
      <c r="C36">
        <v>2011</v>
      </c>
      <c r="D36" t="s">
        <v>857</v>
      </c>
      <c r="E36" s="358">
        <v>6480</v>
      </c>
      <c r="F36" s="359">
        <v>1800</v>
      </c>
      <c r="G36" s="360"/>
      <c r="H36" s="361"/>
      <c r="I36" s="358">
        <v>5400</v>
      </c>
      <c r="J36" s="359">
        <v>1665</v>
      </c>
      <c r="K36" s="360"/>
      <c r="L36" s="361"/>
      <c r="M36" s="358">
        <v>5293.75</v>
      </c>
      <c r="N36" s="359">
        <v>1650</v>
      </c>
      <c r="O36" s="360"/>
      <c r="P36" s="361"/>
      <c r="Q36" s="358">
        <v>17173.75</v>
      </c>
      <c r="R36" s="362">
        <v>5115</v>
      </c>
      <c r="S36" s="360">
        <v>0</v>
      </c>
      <c r="T36" s="361"/>
      <c r="V36" s="363">
        <v>3420</v>
      </c>
      <c r="W36" s="360"/>
      <c r="X36" s="363">
        <v>1125</v>
      </c>
      <c r="Y36" s="360"/>
      <c r="Z36" s="363">
        <v>2571.25</v>
      </c>
      <c r="AA36" s="360"/>
      <c r="AB36" s="359">
        <v>7116.25</v>
      </c>
      <c r="AC36" s="360">
        <v>0</v>
      </c>
      <c r="AD36" s="363">
        <v>3960</v>
      </c>
      <c r="AE36" s="360"/>
      <c r="AF36" s="363">
        <v>2603.5714285714289</v>
      </c>
      <c r="AG36" s="360"/>
      <c r="AH36" s="363">
        <v>3176.25</v>
      </c>
      <c r="AI36" s="360"/>
      <c r="AJ36" s="363">
        <v>9739.8214285714294</v>
      </c>
      <c r="AK36" s="361">
        <v>0</v>
      </c>
      <c r="AL36" s="363">
        <v>16856.071428571428</v>
      </c>
      <c r="AM36" s="361">
        <v>0</v>
      </c>
      <c r="AO36" s="363">
        <v>360</v>
      </c>
      <c r="AP36" s="360"/>
      <c r="AQ36" s="363">
        <v>0</v>
      </c>
      <c r="AR36" s="360"/>
      <c r="AS36" s="363">
        <v>302.5</v>
      </c>
      <c r="AT36" s="360"/>
      <c r="AU36" s="363">
        <v>662.5</v>
      </c>
      <c r="AV36" s="361">
        <v>0</v>
      </c>
    </row>
    <row r="37" spans="1:48" x14ac:dyDescent="0.25">
      <c r="A37" s="594">
        <v>146847</v>
      </c>
      <c r="B37" s="364" t="s">
        <v>136</v>
      </c>
      <c r="C37">
        <v>5201</v>
      </c>
      <c r="D37" t="s">
        <v>858</v>
      </c>
      <c r="E37" s="358">
        <v>5040</v>
      </c>
      <c r="F37" s="359">
        <v>2160</v>
      </c>
      <c r="G37" s="360"/>
      <c r="H37" s="361"/>
      <c r="I37" s="358">
        <v>4500</v>
      </c>
      <c r="J37" s="359">
        <v>2471</v>
      </c>
      <c r="K37" s="360"/>
      <c r="L37" s="361"/>
      <c r="M37" s="358">
        <v>3960</v>
      </c>
      <c r="N37" s="359">
        <v>1980</v>
      </c>
      <c r="O37" s="360"/>
      <c r="P37" s="361"/>
      <c r="Q37" s="358">
        <v>13500</v>
      </c>
      <c r="R37" s="362">
        <v>6611</v>
      </c>
      <c r="S37" s="360">
        <v>0</v>
      </c>
      <c r="T37" s="361"/>
      <c r="V37" s="363">
        <v>1080</v>
      </c>
      <c r="W37" s="360"/>
      <c r="X37" s="363">
        <v>675</v>
      </c>
      <c r="Y37" s="360"/>
      <c r="Z37" s="363">
        <v>701.25</v>
      </c>
      <c r="AA37" s="360"/>
      <c r="AB37" s="359">
        <v>2456.25</v>
      </c>
      <c r="AC37" s="360">
        <v>0</v>
      </c>
      <c r="AD37" s="363">
        <v>324</v>
      </c>
      <c r="AE37" s="360"/>
      <c r="AF37" s="363">
        <v>675</v>
      </c>
      <c r="AG37" s="360"/>
      <c r="AH37" s="363">
        <v>272.25</v>
      </c>
      <c r="AI37" s="360"/>
      <c r="AJ37" s="363">
        <v>1271.25</v>
      </c>
      <c r="AK37" s="361">
        <v>0</v>
      </c>
      <c r="AL37" s="363">
        <v>3727.5</v>
      </c>
      <c r="AM37" s="361">
        <v>0</v>
      </c>
      <c r="AO37" s="363">
        <v>0</v>
      </c>
      <c r="AP37" s="360"/>
      <c r="AQ37" s="363">
        <v>0</v>
      </c>
      <c r="AR37" s="360"/>
      <c r="AS37" s="363">
        <v>0</v>
      </c>
      <c r="AT37" s="360"/>
      <c r="AU37" s="363">
        <v>0</v>
      </c>
      <c r="AV37" s="361">
        <v>0</v>
      </c>
    </row>
    <row r="38" spans="1:48" x14ac:dyDescent="0.25">
      <c r="A38" s="594">
        <v>147125</v>
      </c>
      <c r="B38" s="364" t="s">
        <v>634</v>
      </c>
      <c r="C38">
        <v>2456</v>
      </c>
      <c r="D38" t="s">
        <v>859</v>
      </c>
      <c r="E38" s="358">
        <v>5400</v>
      </c>
      <c r="F38" s="359">
        <v>2700</v>
      </c>
      <c r="G38" s="360"/>
      <c r="H38" s="361"/>
      <c r="I38" s="358">
        <v>5400</v>
      </c>
      <c r="J38" s="359">
        <v>2700</v>
      </c>
      <c r="K38" s="360"/>
      <c r="L38" s="361"/>
      <c r="M38" s="358">
        <v>4537.5</v>
      </c>
      <c r="N38" s="359">
        <v>2268.75</v>
      </c>
      <c r="O38" s="360"/>
      <c r="P38" s="361"/>
      <c r="Q38" s="358">
        <v>15337.5</v>
      </c>
      <c r="R38" s="362">
        <v>7668.75</v>
      </c>
      <c r="S38" s="360">
        <v>0</v>
      </c>
      <c r="T38" s="361"/>
      <c r="V38" s="363">
        <v>0</v>
      </c>
      <c r="W38" s="360"/>
      <c r="X38" s="363">
        <v>0</v>
      </c>
      <c r="Y38" s="360"/>
      <c r="Z38" s="363">
        <v>0</v>
      </c>
      <c r="AA38" s="360"/>
      <c r="AB38" s="359">
        <v>0</v>
      </c>
      <c r="AC38" s="360">
        <v>0</v>
      </c>
      <c r="AD38" s="363">
        <v>1080</v>
      </c>
      <c r="AE38" s="360"/>
      <c r="AF38" s="363">
        <v>675</v>
      </c>
      <c r="AG38" s="360"/>
      <c r="AH38" s="363">
        <v>907.5</v>
      </c>
      <c r="AI38" s="360"/>
      <c r="AJ38" s="363">
        <v>2662.5</v>
      </c>
      <c r="AK38" s="361">
        <v>0</v>
      </c>
      <c r="AL38" s="363">
        <v>2662.5</v>
      </c>
      <c r="AM38" s="361">
        <v>0</v>
      </c>
      <c r="AO38" s="363">
        <v>4320</v>
      </c>
      <c r="AP38" s="360"/>
      <c r="AQ38" s="363">
        <v>1575</v>
      </c>
      <c r="AR38" s="360"/>
      <c r="AS38" s="363">
        <v>3630</v>
      </c>
      <c r="AT38" s="360"/>
      <c r="AU38" s="363">
        <v>9525</v>
      </c>
      <c r="AV38" s="361">
        <v>0</v>
      </c>
    </row>
    <row r="39" spans="1:48" x14ac:dyDescent="0.25">
      <c r="A39" s="594">
        <v>148585</v>
      </c>
      <c r="B39" s="364" t="s">
        <v>110</v>
      </c>
      <c r="C39">
        <v>2027</v>
      </c>
      <c r="D39" t="s">
        <v>860</v>
      </c>
      <c r="E39" s="358">
        <v>6014.25</v>
      </c>
      <c r="F39" s="359">
        <v>720</v>
      </c>
      <c r="G39" s="360"/>
      <c r="H39" s="361"/>
      <c r="I39" s="358">
        <v>4548.2142857142862</v>
      </c>
      <c r="J39" s="359">
        <v>225</v>
      </c>
      <c r="K39" s="360"/>
      <c r="L39" s="361"/>
      <c r="M39" s="358">
        <v>4056.25</v>
      </c>
      <c r="N39" s="359">
        <v>605</v>
      </c>
      <c r="O39" s="360"/>
      <c r="P39" s="361"/>
      <c r="Q39" s="358">
        <v>14618.714285714286</v>
      </c>
      <c r="R39" s="362">
        <v>1550</v>
      </c>
      <c r="S39" s="360">
        <v>0</v>
      </c>
      <c r="T39" s="361"/>
      <c r="V39" s="363">
        <v>2700</v>
      </c>
      <c r="W39" s="360"/>
      <c r="X39" s="363">
        <v>2233.9285714285711</v>
      </c>
      <c r="Y39" s="360"/>
      <c r="Z39" s="363">
        <v>2241.25</v>
      </c>
      <c r="AA39" s="360"/>
      <c r="AB39" s="359">
        <v>7175.1785714285706</v>
      </c>
      <c r="AC39" s="360">
        <v>0</v>
      </c>
      <c r="AD39" s="363">
        <v>900</v>
      </c>
      <c r="AE39" s="360"/>
      <c r="AF39" s="363">
        <v>1092.8571428571429</v>
      </c>
      <c r="AG39" s="360"/>
      <c r="AH39" s="363">
        <v>605</v>
      </c>
      <c r="AI39" s="360"/>
      <c r="AJ39" s="363">
        <v>2597.8571428571431</v>
      </c>
      <c r="AK39" s="361">
        <v>0</v>
      </c>
      <c r="AL39" s="363">
        <v>9773.0357142857138</v>
      </c>
      <c r="AM39" s="361">
        <v>0</v>
      </c>
      <c r="AO39" s="363">
        <v>3060</v>
      </c>
      <c r="AP39" s="360"/>
      <c r="AQ39" s="363">
        <v>2651.7857142857142</v>
      </c>
      <c r="AR39" s="360"/>
      <c r="AS39" s="363">
        <v>2392.5</v>
      </c>
      <c r="AT39" s="360"/>
      <c r="AU39" s="363">
        <v>8104.2857142857138</v>
      </c>
      <c r="AV39" s="361">
        <v>0</v>
      </c>
    </row>
    <row r="40" spans="1:48" x14ac:dyDescent="0.25">
      <c r="A40" s="594">
        <v>145592</v>
      </c>
      <c r="B40" s="364" t="s">
        <v>119</v>
      </c>
      <c r="C40">
        <v>2467</v>
      </c>
      <c r="D40" t="s">
        <v>861</v>
      </c>
      <c r="E40" s="358">
        <v>5040</v>
      </c>
      <c r="F40" s="359">
        <v>1980</v>
      </c>
      <c r="G40" s="360"/>
      <c r="H40" s="361"/>
      <c r="I40" s="358">
        <v>4050</v>
      </c>
      <c r="J40" s="359">
        <v>1575</v>
      </c>
      <c r="K40" s="360"/>
      <c r="L40" s="361"/>
      <c r="M40" s="358">
        <v>3795</v>
      </c>
      <c r="N40" s="359">
        <v>1361.25</v>
      </c>
      <c r="O40" s="360"/>
      <c r="P40" s="361"/>
      <c r="Q40" s="358">
        <v>12885</v>
      </c>
      <c r="R40" s="362">
        <v>4916.25</v>
      </c>
      <c r="S40" s="360">
        <v>0</v>
      </c>
      <c r="T40" s="361"/>
      <c r="V40" s="363">
        <v>2880</v>
      </c>
      <c r="W40" s="360"/>
      <c r="X40" s="363">
        <v>2025</v>
      </c>
      <c r="Y40" s="360"/>
      <c r="Z40" s="363">
        <v>2420</v>
      </c>
      <c r="AA40" s="360"/>
      <c r="AB40" s="359">
        <v>7325</v>
      </c>
      <c r="AC40" s="360">
        <v>0</v>
      </c>
      <c r="AD40" s="363">
        <v>1260</v>
      </c>
      <c r="AE40" s="360"/>
      <c r="AF40" s="363">
        <v>675</v>
      </c>
      <c r="AG40" s="360"/>
      <c r="AH40" s="363">
        <v>756.25</v>
      </c>
      <c r="AI40" s="360"/>
      <c r="AJ40" s="363">
        <v>2691.25</v>
      </c>
      <c r="AK40" s="361">
        <v>0</v>
      </c>
      <c r="AL40" s="363">
        <v>10016.25</v>
      </c>
      <c r="AM40" s="361">
        <v>0</v>
      </c>
      <c r="AO40" s="363">
        <v>180</v>
      </c>
      <c r="AP40" s="360"/>
      <c r="AQ40" s="363">
        <v>0</v>
      </c>
      <c r="AR40" s="360"/>
      <c r="AS40" s="363">
        <v>151.25</v>
      </c>
      <c r="AT40" s="360"/>
      <c r="AU40" s="363">
        <v>331.25</v>
      </c>
      <c r="AV40" s="361">
        <v>0</v>
      </c>
    </row>
    <row r="41" spans="1:48" x14ac:dyDescent="0.25">
      <c r="A41" s="594">
        <v>146921</v>
      </c>
      <c r="B41" s="364" t="s">
        <v>113</v>
      </c>
      <c r="C41">
        <v>2451</v>
      </c>
      <c r="D41" t="s">
        <v>862</v>
      </c>
      <c r="E41" s="358">
        <v>7020</v>
      </c>
      <c r="F41" s="359">
        <v>2160</v>
      </c>
      <c r="G41" s="360"/>
      <c r="H41" s="361"/>
      <c r="I41" s="358">
        <v>7650</v>
      </c>
      <c r="J41" s="359">
        <v>3150</v>
      </c>
      <c r="K41" s="360"/>
      <c r="L41" s="361"/>
      <c r="M41" s="358">
        <v>6435</v>
      </c>
      <c r="N41" s="359">
        <v>1966.25</v>
      </c>
      <c r="O41" s="360"/>
      <c r="P41" s="361"/>
      <c r="Q41" s="358">
        <v>21105</v>
      </c>
      <c r="R41" s="362">
        <v>7276.25</v>
      </c>
      <c r="S41" s="360">
        <v>0</v>
      </c>
      <c r="T41" s="361"/>
      <c r="V41" s="363">
        <v>3240</v>
      </c>
      <c r="W41" s="360"/>
      <c r="X41" s="363">
        <v>3600</v>
      </c>
      <c r="Y41" s="360"/>
      <c r="Z41" s="363">
        <v>2571.25</v>
      </c>
      <c r="AA41" s="360"/>
      <c r="AB41" s="359">
        <v>9411.25</v>
      </c>
      <c r="AC41" s="360">
        <v>0</v>
      </c>
      <c r="AD41" s="363">
        <v>1800</v>
      </c>
      <c r="AE41" s="360"/>
      <c r="AF41" s="363">
        <v>675</v>
      </c>
      <c r="AG41" s="360"/>
      <c r="AH41" s="363">
        <v>1361.25</v>
      </c>
      <c r="AI41" s="360"/>
      <c r="AJ41" s="363">
        <v>3836.25</v>
      </c>
      <c r="AK41" s="361">
        <v>0</v>
      </c>
      <c r="AL41" s="363">
        <v>13247.5</v>
      </c>
      <c r="AM41" s="361">
        <v>0</v>
      </c>
      <c r="AO41" s="363">
        <v>0</v>
      </c>
      <c r="AP41" s="360"/>
      <c r="AQ41" s="363">
        <v>0</v>
      </c>
      <c r="AR41" s="360"/>
      <c r="AS41" s="363">
        <v>151.25</v>
      </c>
      <c r="AT41" s="360"/>
      <c r="AU41" s="363">
        <v>151.25</v>
      </c>
      <c r="AV41" s="361">
        <v>0</v>
      </c>
    </row>
    <row r="42" spans="1:48" x14ac:dyDescent="0.25">
      <c r="A42" s="594">
        <v>145982</v>
      </c>
      <c r="B42" s="364" t="s">
        <v>635</v>
      </c>
      <c r="C42">
        <v>2023</v>
      </c>
      <c r="D42" t="s">
        <v>863</v>
      </c>
      <c r="E42" s="358">
        <v>2649</v>
      </c>
      <c r="F42" s="359">
        <v>540</v>
      </c>
      <c r="G42" s="360"/>
      <c r="H42" s="361"/>
      <c r="I42" s="358">
        <v>1125</v>
      </c>
      <c r="J42" s="359">
        <v>225</v>
      </c>
      <c r="K42" s="360"/>
      <c r="L42" s="361"/>
      <c r="M42" s="358">
        <v>2059.75</v>
      </c>
      <c r="N42" s="359">
        <v>453.75</v>
      </c>
      <c r="O42" s="360"/>
      <c r="P42" s="361"/>
      <c r="Q42" s="358">
        <v>5833.75</v>
      </c>
      <c r="R42" s="362">
        <v>1218.75</v>
      </c>
      <c r="S42" s="360">
        <v>0</v>
      </c>
      <c r="T42" s="361"/>
      <c r="V42" s="363">
        <v>2685</v>
      </c>
      <c r="W42" s="360"/>
      <c r="X42" s="363">
        <v>900</v>
      </c>
      <c r="Y42" s="360"/>
      <c r="Z42" s="363">
        <v>1650</v>
      </c>
      <c r="AA42" s="360"/>
      <c r="AB42" s="359">
        <v>5235</v>
      </c>
      <c r="AC42" s="360">
        <v>0</v>
      </c>
      <c r="AD42" s="363">
        <v>144</v>
      </c>
      <c r="AE42" s="360"/>
      <c r="AF42" s="363">
        <v>225</v>
      </c>
      <c r="AG42" s="360"/>
      <c r="AH42" s="363">
        <v>121</v>
      </c>
      <c r="AI42" s="360"/>
      <c r="AJ42" s="363">
        <v>490</v>
      </c>
      <c r="AK42" s="361">
        <v>0</v>
      </c>
      <c r="AL42" s="363">
        <v>5725</v>
      </c>
      <c r="AM42" s="361">
        <v>0</v>
      </c>
      <c r="AO42" s="363">
        <v>1569</v>
      </c>
      <c r="AP42" s="360"/>
      <c r="AQ42" s="363">
        <v>900</v>
      </c>
      <c r="AR42" s="360"/>
      <c r="AS42" s="363">
        <v>1317.25</v>
      </c>
      <c r="AT42" s="360"/>
      <c r="AU42" s="363">
        <v>3786.25</v>
      </c>
      <c r="AV42" s="361">
        <v>0</v>
      </c>
    </row>
    <row r="43" spans="1:48" x14ac:dyDescent="0.25">
      <c r="A43" s="594">
        <v>144343</v>
      </c>
      <c r="B43" s="364" t="s">
        <v>636</v>
      </c>
      <c r="C43">
        <v>2016</v>
      </c>
      <c r="D43" t="s">
        <v>864</v>
      </c>
      <c r="E43" s="358">
        <v>6192</v>
      </c>
      <c r="F43" s="359">
        <v>540</v>
      </c>
      <c r="G43" s="360"/>
      <c r="H43" s="361"/>
      <c r="I43" s="358">
        <v>6701.7857142857138</v>
      </c>
      <c r="J43" s="359">
        <v>900</v>
      </c>
      <c r="K43" s="360"/>
      <c r="L43" s="361"/>
      <c r="M43" s="358">
        <v>4950</v>
      </c>
      <c r="N43" s="359">
        <v>302.5</v>
      </c>
      <c r="O43" s="360"/>
      <c r="P43" s="361"/>
      <c r="Q43" s="358">
        <v>17843.785714285714</v>
      </c>
      <c r="R43" s="362">
        <v>1742.5</v>
      </c>
      <c r="S43" s="360">
        <v>0</v>
      </c>
      <c r="T43" s="361"/>
      <c r="V43" s="363">
        <v>5508</v>
      </c>
      <c r="W43" s="360"/>
      <c r="X43" s="363">
        <v>6251.7857142857138</v>
      </c>
      <c r="Y43" s="360"/>
      <c r="Z43" s="363">
        <v>3569.5</v>
      </c>
      <c r="AA43" s="360"/>
      <c r="AB43" s="359">
        <v>15329.285714285714</v>
      </c>
      <c r="AC43" s="360">
        <v>0</v>
      </c>
      <c r="AD43" s="363">
        <v>1044</v>
      </c>
      <c r="AE43" s="360"/>
      <c r="AF43" s="363">
        <v>225</v>
      </c>
      <c r="AG43" s="360"/>
      <c r="AH43" s="363">
        <v>574.75</v>
      </c>
      <c r="AI43" s="360"/>
      <c r="AJ43" s="363">
        <v>1843.75</v>
      </c>
      <c r="AK43" s="361">
        <v>0</v>
      </c>
      <c r="AL43" s="363">
        <v>17173.035714285714</v>
      </c>
      <c r="AM43" s="361">
        <v>0</v>
      </c>
      <c r="AO43" s="363">
        <v>0</v>
      </c>
      <c r="AP43" s="360"/>
      <c r="AQ43" s="363">
        <v>0</v>
      </c>
      <c r="AR43" s="360"/>
      <c r="AS43" s="363">
        <v>0</v>
      </c>
      <c r="AT43" s="360"/>
      <c r="AU43" s="363">
        <v>0</v>
      </c>
      <c r="AV43" s="361">
        <v>0</v>
      </c>
    </row>
    <row r="44" spans="1:48" x14ac:dyDescent="0.25">
      <c r="A44" s="594">
        <v>142041</v>
      </c>
      <c r="B44" s="364" t="s">
        <v>637</v>
      </c>
      <c r="C44">
        <v>2013</v>
      </c>
      <c r="D44" t="s">
        <v>865</v>
      </c>
      <c r="E44" s="358">
        <v>10176.15</v>
      </c>
      <c r="F44" s="359">
        <v>540</v>
      </c>
      <c r="G44" s="360"/>
      <c r="H44" s="361"/>
      <c r="I44" s="358">
        <v>7425</v>
      </c>
      <c r="J44" s="359">
        <v>210</v>
      </c>
      <c r="K44" s="360"/>
      <c r="L44" s="361"/>
      <c r="M44" s="358">
        <v>6600</v>
      </c>
      <c r="N44" s="359">
        <v>453.75</v>
      </c>
      <c r="O44" s="360"/>
      <c r="P44" s="361"/>
      <c r="Q44" s="358">
        <v>24201.15</v>
      </c>
      <c r="R44" s="362">
        <v>1203.75</v>
      </c>
      <c r="S44" s="360">
        <v>0</v>
      </c>
      <c r="T44" s="361"/>
      <c r="V44" s="363">
        <v>5709</v>
      </c>
      <c r="W44" s="360"/>
      <c r="X44" s="363">
        <v>3825</v>
      </c>
      <c r="Y44" s="360"/>
      <c r="Z44" s="363">
        <v>3630</v>
      </c>
      <c r="AA44" s="360"/>
      <c r="AB44" s="359">
        <v>13164</v>
      </c>
      <c r="AC44" s="360">
        <v>0</v>
      </c>
      <c r="AD44" s="363">
        <v>4125</v>
      </c>
      <c r="AE44" s="360"/>
      <c r="AF44" s="363">
        <v>2700</v>
      </c>
      <c r="AG44" s="360"/>
      <c r="AH44" s="363">
        <v>2510.75</v>
      </c>
      <c r="AI44" s="360"/>
      <c r="AJ44" s="363">
        <v>9335.75</v>
      </c>
      <c r="AK44" s="361">
        <v>0</v>
      </c>
      <c r="AL44" s="363">
        <v>22499.75</v>
      </c>
      <c r="AM44" s="361">
        <v>0</v>
      </c>
      <c r="AO44" s="363">
        <v>3780</v>
      </c>
      <c r="AP44" s="360"/>
      <c r="AQ44" s="363">
        <v>4242.8571428571422</v>
      </c>
      <c r="AR44" s="360"/>
      <c r="AS44" s="363">
        <v>3297.25</v>
      </c>
      <c r="AT44" s="360"/>
      <c r="AU44" s="363">
        <v>11320.107142857141</v>
      </c>
      <c r="AV44" s="361">
        <v>0</v>
      </c>
    </row>
    <row r="45" spans="1:48" x14ac:dyDescent="0.25">
      <c r="A45" s="594">
        <v>138992</v>
      </c>
      <c r="B45" s="364" t="s">
        <v>638</v>
      </c>
      <c r="C45">
        <v>2010</v>
      </c>
      <c r="D45" t="s">
        <v>866</v>
      </c>
      <c r="E45" s="358">
        <v>5220</v>
      </c>
      <c r="F45" s="359">
        <v>900</v>
      </c>
      <c r="G45" s="360"/>
      <c r="H45" s="361"/>
      <c r="I45" s="358">
        <v>4050</v>
      </c>
      <c r="J45" s="359">
        <v>495</v>
      </c>
      <c r="K45" s="360"/>
      <c r="L45" s="361"/>
      <c r="M45" s="358">
        <v>3327.5</v>
      </c>
      <c r="N45" s="359">
        <v>453.75</v>
      </c>
      <c r="O45" s="360"/>
      <c r="P45" s="361"/>
      <c r="Q45" s="358">
        <v>12597.5</v>
      </c>
      <c r="R45" s="362">
        <v>1848.75</v>
      </c>
      <c r="S45" s="360">
        <v>0</v>
      </c>
      <c r="T45" s="361"/>
      <c r="V45" s="363">
        <v>2880</v>
      </c>
      <c r="W45" s="360"/>
      <c r="X45" s="363">
        <v>2025</v>
      </c>
      <c r="Y45" s="360"/>
      <c r="Z45" s="363">
        <v>1512.5</v>
      </c>
      <c r="AA45" s="360"/>
      <c r="AB45" s="359">
        <v>6417.5</v>
      </c>
      <c r="AC45" s="360">
        <v>0</v>
      </c>
      <c r="AD45" s="363">
        <v>720</v>
      </c>
      <c r="AE45" s="360"/>
      <c r="AF45" s="363">
        <v>450</v>
      </c>
      <c r="AG45" s="360"/>
      <c r="AH45" s="363">
        <v>453.75</v>
      </c>
      <c r="AI45" s="360"/>
      <c r="AJ45" s="363">
        <v>1623.75</v>
      </c>
      <c r="AK45" s="361">
        <v>0</v>
      </c>
      <c r="AL45" s="363">
        <v>8041.25</v>
      </c>
      <c r="AM45" s="361">
        <v>0</v>
      </c>
      <c r="AO45" s="363">
        <v>0</v>
      </c>
      <c r="AP45" s="360"/>
      <c r="AQ45" s="363">
        <v>225</v>
      </c>
      <c r="AR45" s="360"/>
      <c r="AS45" s="363">
        <v>0</v>
      </c>
      <c r="AT45" s="360"/>
      <c r="AU45" s="363">
        <v>225</v>
      </c>
      <c r="AV45" s="361">
        <v>0</v>
      </c>
    </row>
    <row r="46" spans="1:48" x14ac:dyDescent="0.25">
      <c r="A46" s="594">
        <v>146579</v>
      </c>
      <c r="B46" s="364" t="s">
        <v>88</v>
      </c>
      <c r="C46">
        <v>2002</v>
      </c>
      <c r="D46" t="s">
        <v>867</v>
      </c>
      <c r="E46" s="358">
        <v>5559.75</v>
      </c>
      <c r="F46" s="359">
        <v>3240</v>
      </c>
      <c r="G46" s="360"/>
      <c r="H46" s="361"/>
      <c r="I46" s="358">
        <v>7183.9285714285716</v>
      </c>
      <c r="J46" s="359">
        <v>3375</v>
      </c>
      <c r="K46" s="360"/>
      <c r="L46" s="361"/>
      <c r="M46" s="358">
        <v>5112.25</v>
      </c>
      <c r="N46" s="359">
        <v>2873.75</v>
      </c>
      <c r="O46" s="360"/>
      <c r="P46" s="361"/>
      <c r="Q46" s="358">
        <v>17855.928571428572</v>
      </c>
      <c r="R46" s="362">
        <v>9488.75</v>
      </c>
      <c r="S46" s="360">
        <v>0</v>
      </c>
      <c r="T46" s="361"/>
      <c r="V46" s="363">
        <v>0</v>
      </c>
      <c r="W46" s="360"/>
      <c r="X46" s="363">
        <v>0</v>
      </c>
      <c r="Y46" s="360"/>
      <c r="Z46" s="363">
        <v>0</v>
      </c>
      <c r="AA46" s="360"/>
      <c r="AB46" s="359">
        <v>0</v>
      </c>
      <c r="AC46" s="360">
        <v>0</v>
      </c>
      <c r="AD46" s="363">
        <v>3240</v>
      </c>
      <c r="AE46" s="360"/>
      <c r="AF46" s="363">
        <v>2458.9285714285711</v>
      </c>
      <c r="AG46" s="360"/>
      <c r="AH46" s="363">
        <v>2873.75</v>
      </c>
      <c r="AI46" s="360"/>
      <c r="AJ46" s="363">
        <v>8572.6785714285706</v>
      </c>
      <c r="AK46" s="361">
        <v>0</v>
      </c>
      <c r="AL46" s="363">
        <v>8572.6785714285706</v>
      </c>
      <c r="AM46" s="361">
        <v>0</v>
      </c>
      <c r="AO46" s="363">
        <v>2484</v>
      </c>
      <c r="AP46" s="360"/>
      <c r="AQ46" s="363">
        <v>1350</v>
      </c>
      <c r="AR46" s="360"/>
      <c r="AS46" s="363">
        <v>1482.25</v>
      </c>
      <c r="AT46" s="360"/>
      <c r="AU46" s="363">
        <v>5316.25</v>
      </c>
      <c r="AV46" s="361">
        <v>0</v>
      </c>
    </row>
    <row r="47" spans="1:48" x14ac:dyDescent="0.25">
      <c r="A47" s="594">
        <v>146477</v>
      </c>
      <c r="B47" s="364" t="s">
        <v>639</v>
      </c>
      <c r="C47">
        <v>2006</v>
      </c>
      <c r="D47" t="s">
        <v>868</v>
      </c>
      <c r="E47" s="358">
        <v>5118</v>
      </c>
      <c r="F47" s="359">
        <v>3432</v>
      </c>
      <c r="G47" s="360"/>
      <c r="H47" s="361"/>
      <c r="I47" s="358">
        <v>6975</v>
      </c>
      <c r="J47" s="359">
        <v>4147.5</v>
      </c>
      <c r="K47" s="360"/>
      <c r="L47" s="361"/>
      <c r="M47" s="358">
        <v>4451.7916666666661</v>
      </c>
      <c r="N47" s="359">
        <v>3267</v>
      </c>
      <c r="O47" s="360"/>
      <c r="P47" s="361"/>
      <c r="Q47" s="358">
        <v>16544.791666666664</v>
      </c>
      <c r="R47" s="362">
        <v>10846.5</v>
      </c>
      <c r="S47" s="360">
        <v>0</v>
      </c>
      <c r="T47" s="361"/>
      <c r="V47" s="363">
        <v>0</v>
      </c>
      <c r="W47" s="360"/>
      <c r="X47" s="363">
        <v>225</v>
      </c>
      <c r="Y47" s="360"/>
      <c r="Z47" s="363">
        <v>0</v>
      </c>
      <c r="AA47" s="360"/>
      <c r="AB47" s="359">
        <v>225</v>
      </c>
      <c r="AC47" s="360">
        <v>0</v>
      </c>
      <c r="AD47" s="363">
        <v>348</v>
      </c>
      <c r="AE47" s="360"/>
      <c r="AF47" s="363">
        <v>0</v>
      </c>
      <c r="AG47" s="360"/>
      <c r="AH47" s="363">
        <v>292.41666666666663</v>
      </c>
      <c r="AI47" s="360"/>
      <c r="AJ47" s="363">
        <v>640.41666666666663</v>
      </c>
      <c r="AK47" s="361">
        <v>0</v>
      </c>
      <c r="AL47" s="363">
        <v>865.41666666666663</v>
      </c>
      <c r="AM47" s="361">
        <v>0</v>
      </c>
      <c r="AO47" s="363">
        <v>0</v>
      </c>
      <c r="AP47" s="360"/>
      <c r="AQ47" s="363">
        <v>450</v>
      </c>
      <c r="AR47" s="360"/>
      <c r="AS47" s="363">
        <v>0</v>
      </c>
      <c r="AT47" s="360"/>
      <c r="AU47" s="363">
        <v>450</v>
      </c>
      <c r="AV47" s="361">
        <v>0</v>
      </c>
    </row>
    <row r="48" spans="1:48" x14ac:dyDescent="0.25">
      <c r="A48" s="594">
        <v>147307</v>
      </c>
      <c r="B48" s="364" t="s">
        <v>107</v>
      </c>
      <c r="C48">
        <v>2024</v>
      </c>
      <c r="D48" t="s">
        <v>869</v>
      </c>
      <c r="E48" s="358">
        <v>6300</v>
      </c>
      <c r="F48" s="359">
        <v>2880</v>
      </c>
      <c r="G48" s="360"/>
      <c r="H48" s="361"/>
      <c r="I48" s="358">
        <v>6975</v>
      </c>
      <c r="J48" s="359">
        <v>4725</v>
      </c>
      <c r="K48" s="360"/>
      <c r="L48" s="361"/>
      <c r="M48" s="358">
        <v>5610</v>
      </c>
      <c r="N48" s="359">
        <v>2640</v>
      </c>
      <c r="O48" s="360"/>
      <c r="P48" s="361"/>
      <c r="Q48" s="358">
        <v>18885</v>
      </c>
      <c r="R48" s="362">
        <v>10245</v>
      </c>
      <c r="S48" s="360">
        <v>0</v>
      </c>
      <c r="T48" s="361"/>
      <c r="V48" s="363">
        <v>0</v>
      </c>
      <c r="W48" s="360"/>
      <c r="X48" s="363">
        <v>0</v>
      </c>
      <c r="Y48" s="360"/>
      <c r="Z48" s="363">
        <v>0</v>
      </c>
      <c r="AA48" s="360"/>
      <c r="AB48" s="359">
        <v>0</v>
      </c>
      <c r="AC48" s="360">
        <v>0</v>
      </c>
      <c r="AD48" s="363">
        <v>540</v>
      </c>
      <c r="AE48" s="360"/>
      <c r="AF48" s="363">
        <v>450</v>
      </c>
      <c r="AG48" s="360"/>
      <c r="AH48" s="363">
        <v>302.5</v>
      </c>
      <c r="AI48" s="360"/>
      <c r="AJ48" s="363">
        <v>1292.5</v>
      </c>
      <c r="AK48" s="361">
        <v>0</v>
      </c>
      <c r="AL48" s="363">
        <v>1292.5</v>
      </c>
      <c r="AM48" s="361">
        <v>0</v>
      </c>
      <c r="AO48" s="363">
        <v>2700</v>
      </c>
      <c r="AP48" s="360"/>
      <c r="AQ48" s="363">
        <v>1350</v>
      </c>
      <c r="AR48" s="360"/>
      <c r="AS48" s="363">
        <v>2268.75</v>
      </c>
      <c r="AT48" s="360"/>
      <c r="AU48" s="363">
        <v>6318.75</v>
      </c>
      <c r="AV48" s="361">
        <v>0</v>
      </c>
    </row>
    <row r="49" spans="1:48" x14ac:dyDescent="0.25">
      <c r="A49" s="594">
        <v>143875</v>
      </c>
      <c r="B49" s="364" t="s">
        <v>133</v>
      </c>
      <c r="C49">
        <v>3544</v>
      </c>
      <c r="D49" t="s">
        <v>870</v>
      </c>
      <c r="E49" s="358">
        <v>9360</v>
      </c>
      <c r="F49" s="359">
        <v>0</v>
      </c>
      <c r="G49" s="360"/>
      <c r="H49" s="361"/>
      <c r="I49" s="358">
        <v>9450</v>
      </c>
      <c r="J49" s="359">
        <v>0</v>
      </c>
      <c r="K49" s="360"/>
      <c r="L49" s="361"/>
      <c r="M49" s="358">
        <v>8250</v>
      </c>
      <c r="N49" s="359">
        <v>0</v>
      </c>
      <c r="O49" s="360"/>
      <c r="P49" s="361"/>
      <c r="Q49" s="358">
        <v>27060</v>
      </c>
      <c r="R49" s="362">
        <v>0</v>
      </c>
      <c r="S49" s="360">
        <v>0</v>
      </c>
      <c r="T49" s="361"/>
      <c r="V49" s="363">
        <v>8640</v>
      </c>
      <c r="W49" s="360"/>
      <c r="X49" s="363">
        <v>8325</v>
      </c>
      <c r="Y49" s="360"/>
      <c r="Z49" s="363">
        <v>7411.25</v>
      </c>
      <c r="AA49" s="360"/>
      <c r="AB49" s="359">
        <v>24376.25</v>
      </c>
      <c r="AC49" s="360">
        <v>0</v>
      </c>
      <c r="AD49" s="363">
        <v>720</v>
      </c>
      <c r="AE49" s="360"/>
      <c r="AF49" s="363">
        <v>450</v>
      </c>
      <c r="AG49" s="360"/>
      <c r="AH49" s="363">
        <v>453.75</v>
      </c>
      <c r="AI49" s="360"/>
      <c r="AJ49" s="363">
        <v>1623.75</v>
      </c>
      <c r="AK49" s="361">
        <v>0</v>
      </c>
      <c r="AL49" s="363">
        <v>26000</v>
      </c>
      <c r="AM49" s="361">
        <v>0</v>
      </c>
      <c r="AO49" s="363">
        <v>900</v>
      </c>
      <c r="AP49" s="360"/>
      <c r="AQ49" s="363">
        <v>900</v>
      </c>
      <c r="AR49" s="360"/>
      <c r="AS49" s="363">
        <v>756.25</v>
      </c>
      <c r="AT49" s="360"/>
      <c r="AU49" s="363">
        <v>2556.25</v>
      </c>
      <c r="AV49" s="361">
        <v>0</v>
      </c>
    </row>
    <row r="50" spans="1:48" x14ac:dyDescent="0.25">
      <c r="A50" s="594">
        <v>146080</v>
      </c>
      <c r="B50" s="364" t="s">
        <v>640</v>
      </c>
      <c r="C50">
        <v>2022</v>
      </c>
      <c r="D50" t="s">
        <v>871</v>
      </c>
      <c r="E50" s="358">
        <v>11664.75</v>
      </c>
      <c r="F50" s="359">
        <v>2880</v>
      </c>
      <c r="G50" s="360"/>
      <c r="H50" s="361"/>
      <c r="I50" s="358">
        <v>9675</v>
      </c>
      <c r="J50" s="359">
        <v>2025</v>
      </c>
      <c r="K50" s="360"/>
      <c r="L50" s="361"/>
      <c r="M50" s="358">
        <v>8703.75</v>
      </c>
      <c r="N50" s="359">
        <v>2420</v>
      </c>
      <c r="O50" s="360"/>
      <c r="P50" s="361"/>
      <c r="Q50" s="358">
        <v>30043.5</v>
      </c>
      <c r="R50" s="362">
        <v>7325</v>
      </c>
      <c r="S50" s="360">
        <v>0</v>
      </c>
      <c r="T50" s="361"/>
      <c r="V50" s="363">
        <v>4680</v>
      </c>
      <c r="W50" s="360"/>
      <c r="X50" s="363">
        <v>3150</v>
      </c>
      <c r="Y50" s="360"/>
      <c r="Z50" s="363">
        <v>3327.5</v>
      </c>
      <c r="AA50" s="360"/>
      <c r="AB50" s="359">
        <v>11157.5</v>
      </c>
      <c r="AC50" s="360">
        <v>0</v>
      </c>
      <c r="AD50" s="363">
        <v>8310</v>
      </c>
      <c r="AE50" s="360"/>
      <c r="AF50" s="363">
        <v>5400</v>
      </c>
      <c r="AG50" s="360"/>
      <c r="AH50" s="363">
        <v>6132.5</v>
      </c>
      <c r="AI50" s="360"/>
      <c r="AJ50" s="363">
        <v>19842.5</v>
      </c>
      <c r="AK50" s="361">
        <v>0</v>
      </c>
      <c r="AL50" s="363">
        <v>31000</v>
      </c>
      <c r="AM50" s="361">
        <v>0</v>
      </c>
      <c r="AO50" s="363">
        <v>6330</v>
      </c>
      <c r="AP50" s="360"/>
      <c r="AQ50" s="363">
        <v>2250</v>
      </c>
      <c r="AR50" s="360"/>
      <c r="AS50" s="363">
        <v>3781.25</v>
      </c>
      <c r="AT50" s="360"/>
      <c r="AU50" s="363">
        <v>12361.25</v>
      </c>
      <c r="AV50" s="361">
        <v>0</v>
      </c>
    </row>
    <row r="51" spans="1:48" x14ac:dyDescent="0.25">
      <c r="A51" s="594">
        <v>145855</v>
      </c>
      <c r="B51" s="364" t="s">
        <v>641</v>
      </c>
      <c r="C51">
        <v>2020</v>
      </c>
      <c r="D51" t="s">
        <v>872</v>
      </c>
      <c r="E51" s="358">
        <v>5595</v>
      </c>
      <c r="F51" s="359">
        <v>2160</v>
      </c>
      <c r="G51" s="360"/>
      <c r="H51" s="361"/>
      <c r="I51" s="358">
        <v>4217.1428571428578</v>
      </c>
      <c r="J51" s="359">
        <v>945</v>
      </c>
      <c r="K51" s="360"/>
      <c r="L51" s="361"/>
      <c r="M51" s="358">
        <v>3960</v>
      </c>
      <c r="N51" s="359">
        <v>1512.5</v>
      </c>
      <c r="O51" s="360"/>
      <c r="P51" s="361"/>
      <c r="Q51" s="358">
        <v>13772.142857142859</v>
      </c>
      <c r="R51" s="362">
        <v>4617.5</v>
      </c>
      <c r="S51" s="360">
        <v>0</v>
      </c>
      <c r="T51" s="361"/>
      <c r="V51" s="363">
        <v>2160</v>
      </c>
      <c r="W51" s="360"/>
      <c r="X51" s="363">
        <v>835.71428571428578</v>
      </c>
      <c r="Y51" s="360"/>
      <c r="Z51" s="363">
        <v>1210</v>
      </c>
      <c r="AA51" s="360"/>
      <c r="AB51" s="359">
        <v>4205.7142857142862</v>
      </c>
      <c r="AC51" s="360">
        <v>0</v>
      </c>
      <c r="AD51" s="363">
        <v>5220</v>
      </c>
      <c r="AE51" s="360"/>
      <c r="AF51" s="363">
        <v>2722.5</v>
      </c>
      <c r="AG51" s="360"/>
      <c r="AH51" s="363">
        <v>3630</v>
      </c>
      <c r="AI51" s="360"/>
      <c r="AJ51" s="363">
        <v>11572.5</v>
      </c>
      <c r="AK51" s="361">
        <v>0</v>
      </c>
      <c r="AL51" s="363">
        <v>15778.214285714286</v>
      </c>
      <c r="AM51" s="361">
        <v>0</v>
      </c>
      <c r="AO51" s="363">
        <v>0</v>
      </c>
      <c r="AP51" s="360"/>
      <c r="AQ51" s="363">
        <v>0</v>
      </c>
      <c r="AR51" s="360"/>
      <c r="AS51" s="363">
        <v>0</v>
      </c>
      <c r="AT51" s="360"/>
      <c r="AU51" s="363">
        <v>0</v>
      </c>
      <c r="AV51" s="361">
        <v>0</v>
      </c>
    </row>
    <row r="52" spans="1:48" x14ac:dyDescent="0.25">
      <c r="A52" s="594">
        <v>149747</v>
      </c>
      <c r="B52" s="364" t="s">
        <v>642</v>
      </c>
      <c r="C52">
        <v>2028</v>
      </c>
      <c r="D52" t="s">
        <v>873</v>
      </c>
      <c r="E52" s="358">
        <v>5558.7</v>
      </c>
      <c r="F52" s="359">
        <v>2880</v>
      </c>
      <c r="G52" s="360"/>
      <c r="H52" s="361"/>
      <c r="I52" s="358">
        <v>4855.7142857142862</v>
      </c>
      <c r="J52" s="359">
        <v>2849</v>
      </c>
      <c r="K52" s="360"/>
      <c r="L52" s="361"/>
      <c r="M52" s="358">
        <v>4125</v>
      </c>
      <c r="N52" s="359">
        <v>2048.291666666667</v>
      </c>
      <c r="O52" s="360"/>
      <c r="P52" s="361"/>
      <c r="Q52" s="358">
        <v>14539.414285714287</v>
      </c>
      <c r="R52" s="362">
        <v>7777.291666666667</v>
      </c>
      <c r="S52" s="360">
        <v>0</v>
      </c>
      <c r="T52" s="361"/>
      <c r="V52" s="363">
        <v>0</v>
      </c>
      <c r="W52" s="360"/>
      <c r="X52" s="363">
        <v>420</v>
      </c>
      <c r="Y52" s="360"/>
      <c r="Z52" s="363">
        <v>0</v>
      </c>
      <c r="AA52" s="360"/>
      <c r="AB52" s="359">
        <v>420</v>
      </c>
      <c r="AC52" s="360">
        <v>0</v>
      </c>
      <c r="AD52" s="363">
        <v>1035</v>
      </c>
      <c r="AE52" s="360"/>
      <c r="AF52" s="363">
        <v>900</v>
      </c>
      <c r="AG52" s="360"/>
      <c r="AH52" s="363">
        <v>605</v>
      </c>
      <c r="AI52" s="360"/>
      <c r="AJ52" s="363">
        <v>2540</v>
      </c>
      <c r="AK52" s="361">
        <v>0</v>
      </c>
      <c r="AL52" s="363">
        <v>2960</v>
      </c>
      <c r="AM52" s="361">
        <v>0</v>
      </c>
      <c r="AO52" s="363">
        <v>360</v>
      </c>
      <c r="AP52" s="360"/>
      <c r="AQ52" s="363">
        <v>225</v>
      </c>
      <c r="AR52" s="360"/>
      <c r="AS52" s="363">
        <v>302.5</v>
      </c>
      <c r="AT52" s="360"/>
      <c r="AU52" s="363">
        <v>887.5</v>
      </c>
      <c r="AV52" s="361">
        <v>0</v>
      </c>
    </row>
    <row r="53" spans="1:48" x14ac:dyDescent="0.25">
      <c r="A53" s="594">
        <v>146253</v>
      </c>
      <c r="B53" s="364" t="s">
        <v>643</v>
      </c>
      <c r="C53">
        <v>3543</v>
      </c>
      <c r="D53" t="s">
        <v>874</v>
      </c>
      <c r="E53" s="358">
        <v>7750.5</v>
      </c>
      <c r="F53" s="359">
        <v>2835</v>
      </c>
      <c r="G53" s="360"/>
      <c r="H53" s="361"/>
      <c r="I53" s="358">
        <v>5805</v>
      </c>
      <c r="J53" s="359">
        <v>2400</v>
      </c>
      <c r="K53" s="360"/>
      <c r="L53" s="361"/>
      <c r="M53" s="358">
        <v>5001.3333333333339</v>
      </c>
      <c r="N53" s="359">
        <v>1966.25</v>
      </c>
      <c r="O53" s="360"/>
      <c r="P53" s="361"/>
      <c r="Q53" s="358">
        <v>18556.833333333336</v>
      </c>
      <c r="R53" s="362">
        <v>7201.25</v>
      </c>
      <c r="S53" s="360">
        <v>0</v>
      </c>
      <c r="T53" s="361"/>
      <c r="V53" s="363">
        <v>1548</v>
      </c>
      <c r="W53" s="360"/>
      <c r="X53" s="363">
        <v>900</v>
      </c>
      <c r="Y53" s="360"/>
      <c r="Z53" s="363">
        <v>1346.125</v>
      </c>
      <c r="AA53" s="360"/>
      <c r="AB53" s="359">
        <v>3794.125</v>
      </c>
      <c r="AC53" s="360">
        <v>0</v>
      </c>
      <c r="AD53" s="363">
        <v>3447</v>
      </c>
      <c r="AE53" s="360"/>
      <c r="AF53" s="363">
        <v>2025</v>
      </c>
      <c r="AG53" s="360"/>
      <c r="AH53" s="363">
        <v>2737.625</v>
      </c>
      <c r="AI53" s="360"/>
      <c r="AJ53" s="363">
        <v>8209.625</v>
      </c>
      <c r="AK53" s="361">
        <v>0</v>
      </c>
      <c r="AL53" s="363">
        <v>12003.75</v>
      </c>
      <c r="AM53" s="361">
        <v>0</v>
      </c>
      <c r="AO53" s="363">
        <v>2088</v>
      </c>
      <c r="AP53" s="360"/>
      <c r="AQ53" s="363">
        <v>1800</v>
      </c>
      <c r="AR53" s="360"/>
      <c r="AS53" s="363">
        <v>1315.875</v>
      </c>
      <c r="AT53" s="360"/>
      <c r="AU53" s="363">
        <v>5203.875</v>
      </c>
      <c r="AV53" s="361">
        <v>0</v>
      </c>
    </row>
    <row r="54" spans="1:48" x14ac:dyDescent="0.25">
      <c r="A54" s="594">
        <v>146575</v>
      </c>
      <c r="B54" s="364" t="s">
        <v>644</v>
      </c>
      <c r="C54">
        <v>3158</v>
      </c>
      <c r="D54" t="s">
        <v>875</v>
      </c>
      <c r="E54" s="358">
        <v>5400</v>
      </c>
      <c r="F54" s="359">
        <v>0</v>
      </c>
      <c r="G54" s="360"/>
      <c r="H54" s="361"/>
      <c r="I54" s="358">
        <v>5287.5</v>
      </c>
      <c r="J54" s="359">
        <v>225</v>
      </c>
      <c r="K54" s="360"/>
      <c r="L54" s="361"/>
      <c r="M54" s="358">
        <v>4290</v>
      </c>
      <c r="N54" s="359">
        <v>302.5</v>
      </c>
      <c r="O54" s="360"/>
      <c r="P54" s="361"/>
      <c r="Q54" s="358">
        <v>14977.5</v>
      </c>
      <c r="R54" s="362">
        <v>527.5</v>
      </c>
      <c r="S54" s="360">
        <v>0</v>
      </c>
      <c r="T54" s="361"/>
      <c r="V54" s="363">
        <v>3060</v>
      </c>
      <c r="W54" s="360"/>
      <c r="X54" s="363">
        <v>3969.6428571428573</v>
      </c>
      <c r="Y54" s="360"/>
      <c r="Z54" s="363">
        <v>2117.5</v>
      </c>
      <c r="AA54" s="360"/>
      <c r="AB54" s="359">
        <v>9147.1428571428569</v>
      </c>
      <c r="AC54" s="360">
        <v>0</v>
      </c>
      <c r="AD54" s="363">
        <v>1980</v>
      </c>
      <c r="AE54" s="360"/>
      <c r="AF54" s="363">
        <v>1317.8571428571429</v>
      </c>
      <c r="AG54" s="360"/>
      <c r="AH54" s="363">
        <v>1361.25</v>
      </c>
      <c r="AI54" s="360"/>
      <c r="AJ54" s="363">
        <v>4659.1071428571431</v>
      </c>
      <c r="AK54" s="361">
        <v>0</v>
      </c>
      <c r="AL54" s="363">
        <v>13806.25</v>
      </c>
      <c r="AM54" s="361">
        <v>0</v>
      </c>
      <c r="AO54" s="363">
        <v>540</v>
      </c>
      <c r="AP54" s="360"/>
      <c r="AQ54" s="363">
        <v>225</v>
      </c>
      <c r="AR54" s="360"/>
      <c r="AS54" s="363">
        <v>302.5</v>
      </c>
      <c r="AT54" s="360"/>
      <c r="AU54" s="363">
        <v>1067.5</v>
      </c>
      <c r="AV54" s="361">
        <v>0</v>
      </c>
    </row>
    <row r="55" spans="1:48" x14ac:dyDescent="0.25">
      <c r="A55" s="594">
        <v>146140</v>
      </c>
      <c r="B55" s="364" t="s">
        <v>645</v>
      </c>
      <c r="C55">
        <v>3528</v>
      </c>
      <c r="D55" t="s">
        <v>876</v>
      </c>
      <c r="E55" s="358">
        <v>7135.35</v>
      </c>
      <c r="F55" s="359">
        <v>2160</v>
      </c>
      <c r="G55" s="360"/>
      <c r="H55" s="361"/>
      <c r="I55" s="358">
        <v>6210</v>
      </c>
      <c r="J55" s="359">
        <v>2700</v>
      </c>
      <c r="K55" s="360"/>
      <c r="L55" s="361"/>
      <c r="M55" s="358">
        <v>5775</v>
      </c>
      <c r="N55" s="359">
        <v>1980</v>
      </c>
      <c r="O55" s="360"/>
      <c r="P55" s="361"/>
      <c r="Q55" s="358">
        <v>19120.349999999999</v>
      </c>
      <c r="R55" s="362">
        <v>6840</v>
      </c>
      <c r="S55" s="360">
        <v>0</v>
      </c>
      <c r="T55" s="361"/>
      <c r="V55" s="363">
        <v>1980</v>
      </c>
      <c r="W55" s="360"/>
      <c r="X55" s="363">
        <v>1575</v>
      </c>
      <c r="Y55" s="360"/>
      <c r="Z55" s="363">
        <v>907.5</v>
      </c>
      <c r="AA55" s="360"/>
      <c r="AB55" s="359">
        <v>4462.5</v>
      </c>
      <c r="AC55" s="360">
        <v>0</v>
      </c>
      <c r="AD55" s="363">
        <v>2808</v>
      </c>
      <c r="AE55" s="360"/>
      <c r="AF55" s="363">
        <v>1980</v>
      </c>
      <c r="AG55" s="360"/>
      <c r="AH55" s="363">
        <v>2194.5</v>
      </c>
      <c r="AI55" s="360"/>
      <c r="AJ55" s="363">
        <v>6982.5</v>
      </c>
      <c r="AK55" s="361">
        <v>0</v>
      </c>
      <c r="AL55" s="363">
        <v>11445</v>
      </c>
      <c r="AM55" s="361">
        <v>0</v>
      </c>
      <c r="AO55" s="363">
        <v>3924</v>
      </c>
      <c r="AP55" s="360"/>
      <c r="AQ55" s="363">
        <v>3060</v>
      </c>
      <c r="AR55" s="360"/>
      <c r="AS55" s="363">
        <v>3283.5</v>
      </c>
      <c r="AT55" s="360"/>
      <c r="AU55" s="363">
        <v>10267.5</v>
      </c>
      <c r="AV55" s="361">
        <v>0</v>
      </c>
    </row>
    <row r="56" spans="1:48" x14ac:dyDescent="0.25">
      <c r="A56" s="594">
        <v>145760</v>
      </c>
      <c r="B56" s="364" t="s">
        <v>646</v>
      </c>
      <c r="C56">
        <v>3546</v>
      </c>
      <c r="D56" t="s">
        <v>877</v>
      </c>
      <c r="E56" s="358">
        <v>11832</v>
      </c>
      <c r="F56" s="359">
        <v>1980</v>
      </c>
      <c r="G56" s="360"/>
      <c r="H56" s="361"/>
      <c r="I56" s="358">
        <v>9900</v>
      </c>
      <c r="J56" s="359">
        <v>1575</v>
      </c>
      <c r="K56" s="360"/>
      <c r="L56" s="361"/>
      <c r="M56" s="358">
        <v>9242.75</v>
      </c>
      <c r="N56" s="359">
        <v>1512.5</v>
      </c>
      <c r="O56" s="360"/>
      <c r="P56" s="361"/>
      <c r="Q56" s="358">
        <v>30974.75</v>
      </c>
      <c r="R56" s="362">
        <v>5067.5</v>
      </c>
      <c r="S56" s="360">
        <v>0</v>
      </c>
      <c r="T56" s="361"/>
      <c r="V56" s="363">
        <v>10440</v>
      </c>
      <c r="W56" s="360"/>
      <c r="X56" s="363">
        <v>7875</v>
      </c>
      <c r="Y56" s="360"/>
      <c r="Z56" s="363">
        <v>7562.5</v>
      </c>
      <c r="AA56" s="360"/>
      <c r="AB56" s="359">
        <v>25877.5</v>
      </c>
      <c r="AC56" s="360">
        <v>0</v>
      </c>
      <c r="AD56" s="363">
        <v>360</v>
      </c>
      <c r="AE56" s="360"/>
      <c r="AF56" s="363">
        <v>225</v>
      </c>
      <c r="AG56" s="360"/>
      <c r="AH56" s="363">
        <v>605</v>
      </c>
      <c r="AI56" s="360"/>
      <c r="AJ56" s="363">
        <v>1190</v>
      </c>
      <c r="AK56" s="361">
        <v>0</v>
      </c>
      <c r="AL56" s="363">
        <v>27067.5</v>
      </c>
      <c r="AM56" s="361">
        <v>0</v>
      </c>
      <c r="AO56" s="363">
        <v>9360</v>
      </c>
      <c r="AP56" s="360"/>
      <c r="AQ56" s="363">
        <v>6300</v>
      </c>
      <c r="AR56" s="360"/>
      <c r="AS56" s="363">
        <v>6806.25</v>
      </c>
      <c r="AT56" s="360"/>
      <c r="AU56" s="363">
        <v>22466.25</v>
      </c>
      <c r="AV56" s="361">
        <v>0</v>
      </c>
    </row>
    <row r="57" spans="1:48" x14ac:dyDescent="0.25">
      <c r="A57" s="594">
        <v>142752</v>
      </c>
      <c r="B57" s="364" t="s">
        <v>647</v>
      </c>
      <c r="C57">
        <v>3530</v>
      </c>
      <c r="D57" t="s">
        <v>878</v>
      </c>
      <c r="E57" s="358">
        <v>7236</v>
      </c>
      <c r="F57" s="359">
        <v>1908</v>
      </c>
      <c r="G57" s="360"/>
      <c r="H57" s="361"/>
      <c r="I57" s="358">
        <v>8010</v>
      </c>
      <c r="J57" s="359">
        <v>2655</v>
      </c>
      <c r="K57" s="360"/>
      <c r="L57" s="361"/>
      <c r="M57" s="358">
        <v>6201.25</v>
      </c>
      <c r="N57" s="359">
        <v>1573</v>
      </c>
      <c r="O57" s="360"/>
      <c r="P57" s="361"/>
      <c r="Q57" s="358">
        <v>21447.25</v>
      </c>
      <c r="R57" s="362">
        <v>6136</v>
      </c>
      <c r="S57" s="360">
        <v>0</v>
      </c>
      <c r="T57" s="361"/>
      <c r="V57" s="363">
        <v>180</v>
      </c>
      <c r="W57" s="360"/>
      <c r="X57" s="363">
        <v>675</v>
      </c>
      <c r="Y57" s="360"/>
      <c r="Z57" s="363">
        <v>151.25</v>
      </c>
      <c r="AA57" s="360"/>
      <c r="AB57" s="359">
        <v>1006.25</v>
      </c>
      <c r="AC57" s="360">
        <v>0</v>
      </c>
      <c r="AD57" s="363">
        <v>1008</v>
      </c>
      <c r="AE57" s="360"/>
      <c r="AF57" s="363">
        <v>585</v>
      </c>
      <c r="AG57" s="360"/>
      <c r="AH57" s="363">
        <v>847</v>
      </c>
      <c r="AI57" s="360"/>
      <c r="AJ57" s="363">
        <v>2440</v>
      </c>
      <c r="AK57" s="361">
        <v>0</v>
      </c>
      <c r="AL57" s="363">
        <v>3446.25</v>
      </c>
      <c r="AM57" s="361">
        <v>0</v>
      </c>
      <c r="AO57" s="363">
        <v>0</v>
      </c>
      <c r="AP57" s="360"/>
      <c r="AQ57" s="363">
        <v>0</v>
      </c>
      <c r="AR57" s="360"/>
      <c r="AS57" s="363">
        <v>0</v>
      </c>
      <c r="AT57" s="360"/>
      <c r="AU57" s="363">
        <v>0</v>
      </c>
      <c r="AV57" s="361">
        <v>0</v>
      </c>
    </row>
    <row r="58" spans="1:48" x14ac:dyDescent="0.25">
      <c r="A58" s="594">
        <v>138443</v>
      </c>
      <c r="B58" s="364" t="s">
        <v>648</v>
      </c>
      <c r="C58">
        <v>2007</v>
      </c>
      <c r="D58" t="s">
        <v>879</v>
      </c>
      <c r="E58" s="358">
        <v>7380</v>
      </c>
      <c r="F58" s="359">
        <v>1620</v>
      </c>
      <c r="G58" s="360"/>
      <c r="H58" s="361"/>
      <c r="I58" s="358">
        <v>6300</v>
      </c>
      <c r="J58" s="359">
        <v>945</v>
      </c>
      <c r="K58" s="360"/>
      <c r="L58" s="361"/>
      <c r="M58" s="358">
        <v>6201.25</v>
      </c>
      <c r="N58" s="359">
        <v>1210</v>
      </c>
      <c r="O58" s="360"/>
      <c r="P58" s="361"/>
      <c r="Q58" s="358">
        <v>19881.25</v>
      </c>
      <c r="R58" s="362">
        <v>3775</v>
      </c>
      <c r="S58" s="360">
        <v>0</v>
      </c>
      <c r="T58" s="361"/>
      <c r="V58" s="363">
        <v>5400</v>
      </c>
      <c r="W58" s="360"/>
      <c r="X58" s="363">
        <v>3375</v>
      </c>
      <c r="Y58" s="360"/>
      <c r="Z58" s="363">
        <v>4180</v>
      </c>
      <c r="AA58" s="360"/>
      <c r="AB58" s="359">
        <v>12955</v>
      </c>
      <c r="AC58" s="360">
        <v>0</v>
      </c>
      <c r="AD58" s="363">
        <v>2160</v>
      </c>
      <c r="AE58" s="360"/>
      <c r="AF58" s="363">
        <v>1350</v>
      </c>
      <c r="AG58" s="360"/>
      <c r="AH58" s="363">
        <v>1663.75</v>
      </c>
      <c r="AI58" s="360"/>
      <c r="AJ58" s="363">
        <v>5173.75</v>
      </c>
      <c r="AK58" s="361">
        <v>0</v>
      </c>
      <c r="AL58" s="363">
        <v>18128.75</v>
      </c>
      <c r="AM58" s="361">
        <v>0</v>
      </c>
      <c r="AO58" s="363">
        <v>360</v>
      </c>
      <c r="AP58" s="360"/>
      <c r="AQ58" s="363">
        <v>450</v>
      </c>
      <c r="AR58" s="360"/>
      <c r="AS58" s="363">
        <v>137.5</v>
      </c>
      <c r="AT58" s="360"/>
      <c r="AU58" s="363">
        <v>947.5</v>
      </c>
      <c r="AV58" s="361">
        <v>0</v>
      </c>
    </row>
    <row r="59" spans="1:48" x14ac:dyDescent="0.25">
      <c r="B59" s="364" t="s">
        <v>880</v>
      </c>
      <c r="C59">
        <v>4000</v>
      </c>
      <c r="D59" t="s">
        <v>649</v>
      </c>
      <c r="E59" s="358">
        <v>0</v>
      </c>
      <c r="F59" s="359">
        <v>0</v>
      </c>
      <c r="G59" s="360"/>
      <c r="H59" s="361"/>
      <c r="I59" s="358">
        <v>0</v>
      </c>
      <c r="J59" s="359">
        <v>0</v>
      </c>
      <c r="K59" s="360"/>
      <c r="L59" s="361"/>
      <c r="M59" s="358">
        <v>0</v>
      </c>
      <c r="N59" s="359">
        <v>0</v>
      </c>
      <c r="O59" s="360"/>
      <c r="P59" s="361"/>
      <c r="Q59" s="358">
        <v>0</v>
      </c>
      <c r="R59" s="362">
        <v>0</v>
      </c>
      <c r="S59" s="360">
        <v>0</v>
      </c>
      <c r="T59" s="361"/>
      <c r="U59" t="s">
        <v>1361</v>
      </c>
      <c r="V59" s="363">
        <v>0</v>
      </c>
      <c r="W59" s="360"/>
      <c r="X59" s="363">
        <v>0</v>
      </c>
      <c r="Y59" s="360"/>
      <c r="Z59" s="363">
        <v>0</v>
      </c>
      <c r="AA59" s="360"/>
      <c r="AB59" s="359">
        <v>0</v>
      </c>
      <c r="AC59" s="360">
        <v>0</v>
      </c>
      <c r="AD59" s="363">
        <v>0</v>
      </c>
      <c r="AE59" s="360"/>
      <c r="AF59" s="363">
        <v>0</v>
      </c>
      <c r="AG59" s="360"/>
      <c r="AH59" s="363">
        <v>0</v>
      </c>
      <c r="AI59" s="360"/>
      <c r="AJ59" s="363">
        <v>0</v>
      </c>
      <c r="AK59" s="361">
        <v>0</v>
      </c>
      <c r="AL59" s="363">
        <v>0</v>
      </c>
      <c r="AM59" s="361">
        <v>0</v>
      </c>
      <c r="AO59" s="363">
        <v>0</v>
      </c>
      <c r="AP59" s="360"/>
      <c r="AQ59" s="363">
        <v>0</v>
      </c>
      <c r="AR59" s="360"/>
      <c r="AS59" s="363">
        <v>0</v>
      </c>
      <c r="AT59" s="360"/>
      <c r="AU59" s="363">
        <v>0</v>
      </c>
      <c r="AV59" s="361">
        <v>0</v>
      </c>
    </row>
    <row r="60" spans="1:48" ht="15" thickBot="1" x14ac:dyDescent="0.4">
      <c r="A60" t="s">
        <v>1354</v>
      </c>
      <c r="B60" s="347" t="s">
        <v>881</v>
      </c>
      <c r="C60" s="348" t="s">
        <v>61</v>
      </c>
      <c r="D60" s="348" t="s">
        <v>61</v>
      </c>
      <c r="E60" s="365">
        <v>446994.95999999996</v>
      </c>
      <c r="F60" s="366">
        <v>216048.33000000002</v>
      </c>
      <c r="G60" s="367">
        <v>0</v>
      </c>
      <c r="H60" s="368"/>
      <c r="I60" s="365">
        <v>319163.81428571424</v>
      </c>
      <c r="J60" s="366">
        <v>153082.47785714286</v>
      </c>
      <c r="K60" s="367">
        <v>0</v>
      </c>
      <c r="L60" s="368"/>
      <c r="M60" s="365">
        <v>306298.1808333334</v>
      </c>
      <c r="N60" s="366">
        <v>148556.17666666667</v>
      </c>
      <c r="O60" s="367">
        <v>0</v>
      </c>
      <c r="P60" s="368"/>
      <c r="Q60" s="365">
        <v>1072456.9551190475</v>
      </c>
      <c r="R60" s="369">
        <v>517686.98452380951</v>
      </c>
      <c r="S60" s="367">
        <v>0</v>
      </c>
      <c r="T60" s="368"/>
      <c r="U60" s="348"/>
      <c r="V60" s="370">
        <v>139032.53</v>
      </c>
      <c r="W60" s="367">
        <v>0</v>
      </c>
      <c r="X60" s="370">
        <v>71540.894285714283</v>
      </c>
      <c r="Y60" s="367">
        <v>0</v>
      </c>
      <c r="Z60" s="370">
        <v>98126.289166666669</v>
      </c>
      <c r="AA60" s="367">
        <v>0</v>
      </c>
      <c r="AB60" s="366">
        <v>308699.71345238097</v>
      </c>
      <c r="AC60" s="367">
        <v>0</v>
      </c>
      <c r="AD60" s="370">
        <v>138467.00999999998</v>
      </c>
      <c r="AE60" s="367">
        <v>0</v>
      </c>
      <c r="AF60" s="370">
        <v>68726.75285714287</v>
      </c>
      <c r="AG60" s="367">
        <v>0</v>
      </c>
      <c r="AH60" s="370">
        <v>92146.04750000003</v>
      </c>
      <c r="AI60" s="367">
        <v>0</v>
      </c>
      <c r="AJ60" s="370">
        <v>299339.81035714288</v>
      </c>
      <c r="AK60" s="368">
        <v>0</v>
      </c>
      <c r="AL60" s="370">
        <v>608039.52380952379</v>
      </c>
      <c r="AM60" s="368">
        <v>0</v>
      </c>
      <c r="AN60" s="348"/>
      <c r="AO60" s="370">
        <v>68160.319999999992</v>
      </c>
      <c r="AP60" s="367">
        <v>0</v>
      </c>
      <c r="AQ60" s="370">
        <v>42501.218571428566</v>
      </c>
      <c r="AR60" s="367">
        <v>0</v>
      </c>
      <c r="AS60" s="370">
        <v>41357.451666666668</v>
      </c>
      <c r="AT60" s="367">
        <v>0</v>
      </c>
      <c r="AU60" s="370">
        <v>152018.99023809523</v>
      </c>
      <c r="AV60" s="368">
        <v>0</v>
      </c>
    </row>
    <row r="61" spans="1:48" ht="13" thickTop="1" x14ac:dyDescent="0.25">
      <c r="B61" s="364" t="s">
        <v>331</v>
      </c>
      <c r="C61">
        <v>206189</v>
      </c>
      <c r="D61" t="s">
        <v>882</v>
      </c>
      <c r="E61" s="358">
        <v>5571</v>
      </c>
      <c r="F61" s="359">
        <v>3168</v>
      </c>
      <c r="G61" s="360"/>
      <c r="H61" s="361"/>
      <c r="I61" s="358">
        <v>4725</v>
      </c>
      <c r="J61" s="359">
        <v>1800</v>
      </c>
      <c r="K61" s="360"/>
      <c r="L61" s="361"/>
      <c r="M61" s="358">
        <v>3932.5</v>
      </c>
      <c r="N61" s="359">
        <v>2117.5</v>
      </c>
      <c r="O61" s="360"/>
      <c r="P61" s="361"/>
      <c r="Q61" s="358">
        <v>14228.5</v>
      </c>
      <c r="R61" s="362">
        <v>7085.5</v>
      </c>
      <c r="S61" s="360">
        <v>0</v>
      </c>
      <c r="T61" s="361"/>
      <c r="V61" s="363">
        <v>4428</v>
      </c>
      <c r="W61" s="360"/>
      <c r="X61" s="363">
        <v>2250</v>
      </c>
      <c r="Y61" s="360"/>
      <c r="Z61" s="363">
        <v>3478.75</v>
      </c>
      <c r="AA61" s="360"/>
      <c r="AB61" s="359">
        <v>10156.75</v>
      </c>
      <c r="AC61" s="360">
        <v>0</v>
      </c>
      <c r="AD61" s="363">
        <v>540</v>
      </c>
      <c r="AE61" s="360"/>
      <c r="AF61" s="363">
        <v>450</v>
      </c>
      <c r="AG61" s="360"/>
      <c r="AH61" s="363">
        <v>453.75</v>
      </c>
      <c r="AI61" s="360"/>
      <c r="AJ61" s="363">
        <v>1443.75</v>
      </c>
      <c r="AK61" s="361">
        <v>0</v>
      </c>
      <c r="AL61" s="363">
        <v>11600.5</v>
      </c>
      <c r="AM61" s="361">
        <v>0</v>
      </c>
      <c r="AO61" s="363">
        <v>2880</v>
      </c>
      <c r="AP61" s="360"/>
      <c r="AQ61" s="363">
        <v>1575</v>
      </c>
      <c r="AR61" s="360"/>
      <c r="AS61" s="363">
        <v>1966.25</v>
      </c>
      <c r="AT61" s="360"/>
      <c r="AU61" s="363">
        <v>6421.25</v>
      </c>
      <c r="AV61" s="361">
        <v>0</v>
      </c>
    </row>
    <row r="62" spans="1:48" x14ac:dyDescent="0.25">
      <c r="B62" s="364" t="s">
        <v>332</v>
      </c>
      <c r="C62" t="s">
        <v>652</v>
      </c>
      <c r="D62" t="s">
        <v>883</v>
      </c>
      <c r="E62" s="358">
        <v>7464.75</v>
      </c>
      <c r="F62" s="359">
        <v>3420</v>
      </c>
      <c r="G62" s="360"/>
      <c r="H62" s="361"/>
      <c r="I62" s="358">
        <v>4950</v>
      </c>
      <c r="J62" s="359">
        <v>1575</v>
      </c>
      <c r="K62" s="360"/>
      <c r="L62" s="361"/>
      <c r="M62" s="358">
        <v>4870.25</v>
      </c>
      <c r="N62" s="359">
        <v>1815</v>
      </c>
      <c r="O62" s="360"/>
      <c r="P62" s="361"/>
      <c r="Q62" s="358">
        <v>17285</v>
      </c>
      <c r="R62" s="362">
        <v>6810</v>
      </c>
      <c r="S62" s="360">
        <v>0</v>
      </c>
      <c r="T62" s="361"/>
      <c r="V62" s="363">
        <v>2736</v>
      </c>
      <c r="W62" s="360"/>
      <c r="X62" s="363">
        <v>1800</v>
      </c>
      <c r="Y62" s="360"/>
      <c r="Z62" s="363">
        <v>1845.25</v>
      </c>
      <c r="AA62" s="360"/>
      <c r="AB62" s="359">
        <v>6381.25</v>
      </c>
      <c r="AC62" s="360">
        <v>0</v>
      </c>
      <c r="AD62" s="363">
        <v>3240</v>
      </c>
      <c r="AE62" s="360"/>
      <c r="AF62" s="363">
        <v>1350</v>
      </c>
      <c r="AG62" s="360"/>
      <c r="AH62" s="363">
        <v>2268.75</v>
      </c>
      <c r="AI62" s="360"/>
      <c r="AJ62" s="363">
        <v>6858.75</v>
      </c>
      <c r="AK62" s="361">
        <v>0</v>
      </c>
      <c r="AL62" s="363">
        <v>13240</v>
      </c>
      <c r="AM62" s="361">
        <v>0</v>
      </c>
      <c r="AO62" s="363">
        <v>900</v>
      </c>
      <c r="AP62" s="360"/>
      <c r="AQ62" s="363">
        <v>900</v>
      </c>
      <c r="AR62" s="360"/>
      <c r="AS62" s="363">
        <v>605</v>
      </c>
      <c r="AT62" s="360"/>
      <c r="AU62" s="363">
        <v>2405</v>
      </c>
      <c r="AV62" s="361">
        <v>0</v>
      </c>
    </row>
    <row r="63" spans="1:48" x14ac:dyDescent="0.25">
      <c r="B63" s="364" t="s">
        <v>167</v>
      </c>
      <c r="C63" t="s">
        <v>335</v>
      </c>
      <c r="D63" t="s">
        <v>884</v>
      </c>
      <c r="E63" s="358">
        <v>3281.4</v>
      </c>
      <c r="F63" s="359">
        <v>468</v>
      </c>
      <c r="G63" s="360"/>
      <c r="H63" s="361"/>
      <c r="I63" s="358">
        <v>1575</v>
      </c>
      <c r="J63" s="359">
        <v>450</v>
      </c>
      <c r="K63" s="360"/>
      <c r="L63" s="361"/>
      <c r="M63" s="358">
        <v>2571.25</v>
      </c>
      <c r="N63" s="359">
        <v>393.25</v>
      </c>
      <c r="O63" s="360"/>
      <c r="P63" s="361"/>
      <c r="Q63" s="358">
        <v>7427.65</v>
      </c>
      <c r="R63" s="362">
        <v>1311.25</v>
      </c>
      <c r="S63" s="360">
        <v>0</v>
      </c>
      <c r="T63" s="361"/>
      <c r="V63" s="363">
        <v>1512</v>
      </c>
      <c r="W63" s="360"/>
      <c r="X63" s="363">
        <v>900</v>
      </c>
      <c r="Y63" s="360"/>
      <c r="Z63" s="363">
        <v>907.5</v>
      </c>
      <c r="AA63" s="360"/>
      <c r="AB63" s="359">
        <v>3319.5</v>
      </c>
      <c r="AC63" s="360">
        <v>0</v>
      </c>
      <c r="AD63" s="363">
        <v>900</v>
      </c>
      <c r="AE63" s="360"/>
      <c r="AF63" s="363">
        <v>0</v>
      </c>
      <c r="AG63" s="360"/>
      <c r="AH63" s="363">
        <v>756.25</v>
      </c>
      <c r="AI63" s="360"/>
      <c r="AJ63" s="363">
        <v>1656.25</v>
      </c>
      <c r="AK63" s="361">
        <v>0</v>
      </c>
      <c r="AL63" s="363">
        <v>4975.75</v>
      </c>
      <c r="AM63" s="361">
        <v>0</v>
      </c>
      <c r="AO63" s="363">
        <v>1800</v>
      </c>
      <c r="AP63" s="360"/>
      <c r="AQ63" s="363">
        <v>675</v>
      </c>
      <c r="AR63" s="360"/>
      <c r="AS63" s="363">
        <v>453.75</v>
      </c>
      <c r="AT63" s="360"/>
      <c r="AU63" s="363">
        <v>2928.75</v>
      </c>
      <c r="AV63" s="361">
        <v>0</v>
      </c>
    </row>
    <row r="64" spans="1:48" x14ac:dyDescent="0.25">
      <c r="B64" s="364" t="s">
        <v>337</v>
      </c>
      <c r="C64" t="s">
        <v>336</v>
      </c>
      <c r="D64" t="s">
        <v>885</v>
      </c>
      <c r="E64" s="358">
        <v>9278.8499999999985</v>
      </c>
      <c r="F64" s="359">
        <v>3598.9900000000002</v>
      </c>
      <c r="G64" s="360"/>
      <c r="H64" s="361"/>
      <c r="I64" s="358">
        <v>5982.1285714285732</v>
      </c>
      <c r="J64" s="359">
        <v>3032.1857142857148</v>
      </c>
      <c r="K64" s="360"/>
      <c r="L64" s="361"/>
      <c r="M64" s="358">
        <v>6220.6374999999989</v>
      </c>
      <c r="N64" s="359">
        <v>1820.5275000000004</v>
      </c>
      <c r="O64" s="360"/>
      <c r="P64" s="361"/>
      <c r="Q64" s="358">
        <v>21481.616071428572</v>
      </c>
      <c r="R64" s="362">
        <v>8451.7032142857151</v>
      </c>
      <c r="S64" s="360">
        <v>0</v>
      </c>
      <c r="T64" s="361"/>
      <c r="V64" s="363">
        <v>2887.75</v>
      </c>
      <c r="W64" s="360"/>
      <c r="X64" s="363">
        <v>1992.6428571428573</v>
      </c>
      <c r="Y64" s="360"/>
      <c r="Z64" s="363">
        <v>2429.5700000000002</v>
      </c>
      <c r="AA64" s="360"/>
      <c r="AB64" s="359">
        <v>7309.9628571428566</v>
      </c>
      <c r="AC64" s="360">
        <v>0</v>
      </c>
      <c r="AD64" s="363">
        <v>4756.53</v>
      </c>
      <c r="AE64" s="360"/>
      <c r="AF64" s="363">
        <v>2016.6000000000004</v>
      </c>
      <c r="AG64" s="360"/>
      <c r="AH64" s="363">
        <v>2418.35</v>
      </c>
      <c r="AI64" s="360"/>
      <c r="AJ64" s="363">
        <v>9191.48</v>
      </c>
      <c r="AK64" s="361">
        <v>0</v>
      </c>
      <c r="AL64" s="363">
        <v>16501.442857142858</v>
      </c>
      <c r="AM64" s="361">
        <v>0</v>
      </c>
      <c r="AO64" s="363">
        <v>3431.95</v>
      </c>
      <c r="AP64" s="360"/>
      <c r="AQ64" s="363">
        <v>1451.0142857142857</v>
      </c>
      <c r="AR64" s="360"/>
      <c r="AS64" s="363">
        <v>1455.85</v>
      </c>
      <c r="AT64" s="360"/>
      <c r="AU64" s="363">
        <v>6338.8142857142848</v>
      </c>
      <c r="AV64" s="361">
        <v>0</v>
      </c>
    </row>
    <row r="65" spans="2:48" x14ac:dyDescent="0.25">
      <c r="B65" s="364" t="s">
        <v>886</v>
      </c>
      <c r="C65" t="s">
        <v>887</v>
      </c>
      <c r="D65" t="s">
        <v>887</v>
      </c>
      <c r="E65" s="358">
        <v>3210.75</v>
      </c>
      <c r="F65" s="359">
        <v>2156.7600000000002</v>
      </c>
      <c r="G65" s="360"/>
      <c r="H65" s="361"/>
      <c r="I65" s="358">
        <v>4455</v>
      </c>
      <c r="J65" s="359">
        <v>1800</v>
      </c>
      <c r="K65" s="360"/>
      <c r="L65" s="361"/>
      <c r="M65" s="358">
        <v>2171.583333333333</v>
      </c>
      <c r="N65" s="359">
        <v>0</v>
      </c>
      <c r="O65" s="360"/>
      <c r="P65" s="361"/>
      <c r="Q65" s="358">
        <v>9837.3333333333321</v>
      </c>
      <c r="R65" s="362">
        <v>3956.76</v>
      </c>
      <c r="S65" s="360">
        <v>0</v>
      </c>
      <c r="T65" s="361"/>
      <c r="U65" t="s">
        <v>1362</v>
      </c>
      <c r="V65" s="363">
        <v>360</v>
      </c>
      <c r="W65" s="360"/>
      <c r="X65" s="363">
        <v>0</v>
      </c>
      <c r="Y65" s="360"/>
      <c r="Z65" s="363">
        <v>0</v>
      </c>
      <c r="AA65" s="360"/>
      <c r="AB65" s="359">
        <v>360</v>
      </c>
      <c r="AC65" s="360">
        <v>0</v>
      </c>
      <c r="AD65" s="363">
        <v>264</v>
      </c>
      <c r="AE65" s="360"/>
      <c r="AF65" s="363">
        <v>0</v>
      </c>
      <c r="AG65" s="360"/>
      <c r="AH65" s="363">
        <v>0</v>
      </c>
      <c r="AI65" s="360"/>
      <c r="AJ65" s="363">
        <v>264</v>
      </c>
      <c r="AK65" s="361">
        <v>0</v>
      </c>
      <c r="AL65" s="363">
        <v>624</v>
      </c>
      <c r="AM65" s="361">
        <v>0</v>
      </c>
      <c r="AO65" s="363">
        <v>180</v>
      </c>
      <c r="AP65" s="360"/>
      <c r="AQ65" s="363">
        <v>0</v>
      </c>
      <c r="AR65" s="360"/>
      <c r="AS65" s="363">
        <v>0</v>
      </c>
      <c r="AT65" s="360"/>
      <c r="AU65" s="363">
        <v>180</v>
      </c>
      <c r="AV65" s="361">
        <v>0</v>
      </c>
    </row>
    <row r="66" spans="2:48" x14ac:dyDescent="0.25">
      <c r="B66" s="364" t="s">
        <v>341</v>
      </c>
      <c r="C66">
        <v>206126</v>
      </c>
      <c r="D66" t="s">
        <v>888</v>
      </c>
      <c r="E66" s="358">
        <v>4560</v>
      </c>
      <c r="F66" s="359">
        <v>3360</v>
      </c>
      <c r="G66" s="360"/>
      <c r="H66" s="361"/>
      <c r="I66" s="358">
        <v>3990</v>
      </c>
      <c r="J66" s="359">
        <v>1980</v>
      </c>
      <c r="K66" s="360"/>
      <c r="L66" s="361"/>
      <c r="M66" s="358">
        <v>3831.6666666666665</v>
      </c>
      <c r="N66" s="359">
        <v>2732.583333333333</v>
      </c>
      <c r="O66" s="360"/>
      <c r="P66" s="361"/>
      <c r="Q66" s="358">
        <v>12381.666666666666</v>
      </c>
      <c r="R66" s="362">
        <v>8072.583333333333</v>
      </c>
      <c r="S66" s="360">
        <v>0</v>
      </c>
      <c r="T66" s="361"/>
      <c r="V66" s="363">
        <v>0</v>
      </c>
      <c r="W66" s="360"/>
      <c r="X66" s="363">
        <v>210</v>
      </c>
      <c r="Y66" s="360"/>
      <c r="Z66" s="363">
        <v>282.33333333333337</v>
      </c>
      <c r="AA66" s="360"/>
      <c r="AB66" s="359">
        <v>492.33333333333337</v>
      </c>
      <c r="AC66" s="360">
        <v>0</v>
      </c>
      <c r="AD66" s="363">
        <v>720</v>
      </c>
      <c r="AE66" s="360"/>
      <c r="AF66" s="363">
        <v>225</v>
      </c>
      <c r="AG66" s="360"/>
      <c r="AH66" s="363">
        <v>605</v>
      </c>
      <c r="AI66" s="360"/>
      <c r="AJ66" s="363">
        <v>1550</v>
      </c>
      <c r="AK66" s="361">
        <v>0</v>
      </c>
      <c r="AL66" s="363">
        <v>2042.3333333333335</v>
      </c>
      <c r="AM66" s="361">
        <v>0</v>
      </c>
      <c r="AO66" s="363">
        <v>0</v>
      </c>
      <c r="AP66" s="360"/>
      <c r="AQ66" s="363">
        <v>0</v>
      </c>
      <c r="AR66" s="360"/>
      <c r="AS66" s="363">
        <v>0</v>
      </c>
      <c r="AT66" s="360"/>
      <c r="AU66" s="363">
        <v>0</v>
      </c>
      <c r="AV66" s="361">
        <v>0</v>
      </c>
    </row>
    <row r="67" spans="2:48" x14ac:dyDescent="0.25">
      <c r="B67" s="364" t="s">
        <v>342</v>
      </c>
      <c r="C67">
        <v>206111</v>
      </c>
      <c r="D67" t="s">
        <v>889</v>
      </c>
      <c r="E67" s="358">
        <v>17663.920000000016</v>
      </c>
      <c r="F67" s="359">
        <v>10168.200000000006</v>
      </c>
      <c r="G67" s="360"/>
      <c r="H67" s="361"/>
      <c r="I67" s="358">
        <v>10783.499999999998</v>
      </c>
      <c r="J67" s="359">
        <v>8333.3571428571486</v>
      </c>
      <c r="K67" s="360"/>
      <c r="L67" s="361"/>
      <c r="M67" s="358">
        <v>9996.9375</v>
      </c>
      <c r="N67" s="359">
        <v>6716.1875</v>
      </c>
      <c r="O67" s="360"/>
      <c r="P67" s="361"/>
      <c r="Q67" s="358">
        <v>38444.357500000013</v>
      </c>
      <c r="R67" s="362">
        <v>25217.744642857157</v>
      </c>
      <c r="S67" s="360">
        <v>0</v>
      </c>
      <c r="T67" s="361"/>
      <c r="V67" s="363">
        <v>360.24</v>
      </c>
      <c r="W67" s="360"/>
      <c r="X67" s="363">
        <v>432.64285714285717</v>
      </c>
      <c r="Y67" s="360"/>
      <c r="Z67" s="363">
        <v>0</v>
      </c>
      <c r="AA67" s="360"/>
      <c r="AB67" s="359">
        <v>792.88285714285712</v>
      </c>
      <c r="AC67" s="360">
        <v>0</v>
      </c>
      <c r="AD67" s="363">
        <v>4524.9599999999991</v>
      </c>
      <c r="AE67" s="360"/>
      <c r="AF67" s="363">
        <v>858.21428571428578</v>
      </c>
      <c r="AG67" s="360"/>
      <c r="AH67" s="363">
        <v>2613.1875</v>
      </c>
      <c r="AI67" s="360"/>
      <c r="AJ67" s="363">
        <v>7996.3617857142854</v>
      </c>
      <c r="AK67" s="361">
        <v>0</v>
      </c>
      <c r="AL67" s="363">
        <v>8789.244642857142</v>
      </c>
      <c r="AM67" s="361">
        <v>0</v>
      </c>
      <c r="AO67" s="363">
        <v>0</v>
      </c>
      <c r="AP67" s="360"/>
      <c r="AQ67" s="363">
        <v>0</v>
      </c>
      <c r="AR67" s="360"/>
      <c r="AS67" s="363">
        <v>0</v>
      </c>
      <c r="AT67" s="360"/>
      <c r="AU67" s="363">
        <v>0</v>
      </c>
      <c r="AV67" s="361">
        <v>0</v>
      </c>
    </row>
    <row r="68" spans="2:48" x14ac:dyDescent="0.25">
      <c r="B68" s="364" t="s">
        <v>890</v>
      </c>
      <c r="C68" t="s">
        <v>891</v>
      </c>
      <c r="D68" t="s">
        <v>891</v>
      </c>
      <c r="E68" s="358">
        <v>7854.4599999999982</v>
      </c>
      <c r="F68" s="359">
        <v>4018.9599999999991</v>
      </c>
      <c r="G68" s="360"/>
      <c r="H68" s="361"/>
      <c r="I68" s="358">
        <v>5312.5714285714303</v>
      </c>
      <c r="J68" s="359">
        <v>3201.2142857142867</v>
      </c>
      <c r="K68" s="360"/>
      <c r="L68" s="361"/>
      <c r="M68" s="358">
        <v>4900.5</v>
      </c>
      <c r="N68" s="359">
        <v>3682.5</v>
      </c>
      <c r="O68" s="360"/>
      <c r="P68" s="361"/>
      <c r="Q68" s="358">
        <v>18067.531428571427</v>
      </c>
      <c r="R68" s="362">
        <v>10902.674285714285</v>
      </c>
      <c r="S68" s="360">
        <v>0</v>
      </c>
      <c r="T68" s="361"/>
      <c r="V68" s="363">
        <v>1226.02</v>
      </c>
      <c r="W68" s="360"/>
      <c r="X68" s="363">
        <v>403.8</v>
      </c>
      <c r="Y68" s="360"/>
      <c r="Z68" s="363">
        <v>822.75</v>
      </c>
      <c r="AA68" s="360"/>
      <c r="AB68" s="359">
        <v>2452.5699999999997</v>
      </c>
      <c r="AC68" s="360">
        <v>0</v>
      </c>
      <c r="AD68" s="363">
        <v>1828.92</v>
      </c>
      <c r="AE68" s="360"/>
      <c r="AF68" s="363">
        <v>403.8</v>
      </c>
      <c r="AG68" s="360"/>
      <c r="AH68" s="363">
        <v>1479</v>
      </c>
      <c r="AI68" s="360"/>
      <c r="AJ68" s="363">
        <v>3711.7200000000003</v>
      </c>
      <c r="AK68" s="361">
        <v>0</v>
      </c>
      <c r="AL68" s="363">
        <v>6164.29</v>
      </c>
      <c r="AM68" s="361">
        <v>0</v>
      </c>
      <c r="AO68" s="363">
        <v>0</v>
      </c>
      <c r="AP68" s="360"/>
      <c r="AQ68" s="363">
        <v>0</v>
      </c>
      <c r="AR68" s="360"/>
      <c r="AS68" s="363">
        <v>0</v>
      </c>
      <c r="AT68" s="360"/>
      <c r="AU68" s="363">
        <v>0</v>
      </c>
      <c r="AV68" s="361">
        <v>0</v>
      </c>
    </row>
    <row r="69" spans="2:48" x14ac:dyDescent="0.25">
      <c r="B69" s="364" t="s">
        <v>343</v>
      </c>
      <c r="C69">
        <v>206091</v>
      </c>
      <c r="D69" t="s">
        <v>892</v>
      </c>
      <c r="E69" s="358">
        <v>4650.0400000000009</v>
      </c>
      <c r="F69" s="359">
        <v>2080.02</v>
      </c>
      <c r="G69" s="360"/>
      <c r="H69" s="361"/>
      <c r="I69" s="358">
        <v>4816.6285714285714</v>
      </c>
      <c r="J69" s="359">
        <v>2221.2857142857138</v>
      </c>
      <c r="K69" s="360"/>
      <c r="L69" s="361"/>
      <c r="M69" s="358">
        <v>3193.5749999999998</v>
      </c>
      <c r="N69" s="359">
        <v>1373.625</v>
      </c>
      <c r="O69" s="360"/>
      <c r="P69" s="361"/>
      <c r="Q69" s="358">
        <v>12660.243571428571</v>
      </c>
      <c r="R69" s="362">
        <v>5674.9307142857142</v>
      </c>
      <c r="S69" s="360">
        <v>0</v>
      </c>
      <c r="T69" s="361"/>
      <c r="V69" s="363">
        <v>540</v>
      </c>
      <c r="W69" s="360"/>
      <c r="X69" s="363">
        <v>0</v>
      </c>
      <c r="Y69" s="360"/>
      <c r="Z69" s="363">
        <v>151.25</v>
      </c>
      <c r="AA69" s="360"/>
      <c r="AB69" s="359">
        <v>691.25</v>
      </c>
      <c r="AC69" s="360">
        <v>0</v>
      </c>
      <c r="AD69" s="363">
        <v>1720.04</v>
      </c>
      <c r="AE69" s="360"/>
      <c r="AF69" s="363">
        <v>1524.2571428571428</v>
      </c>
      <c r="AG69" s="360"/>
      <c r="AH69" s="363">
        <v>1371.1499999999999</v>
      </c>
      <c r="AI69" s="360"/>
      <c r="AJ69" s="363">
        <v>4615.4471428571424</v>
      </c>
      <c r="AK69" s="361">
        <v>0</v>
      </c>
      <c r="AL69" s="363">
        <v>5306.6971428571424</v>
      </c>
      <c r="AM69" s="361">
        <v>0</v>
      </c>
      <c r="AO69" s="363">
        <v>0</v>
      </c>
      <c r="AP69" s="360"/>
      <c r="AQ69" s="363">
        <v>0</v>
      </c>
      <c r="AR69" s="360"/>
      <c r="AS69" s="363">
        <v>0</v>
      </c>
      <c r="AT69" s="360"/>
      <c r="AU69" s="363">
        <v>0</v>
      </c>
      <c r="AV69" s="361">
        <v>0</v>
      </c>
    </row>
    <row r="70" spans="2:48" x14ac:dyDescent="0.25">
      <c r="B70" s="364" t="s">
        <v>344</v>
      </c>
      <c r="C70">
        <v>206128</v>
      </c>
      <c r="D70" t="s">
        <v>893</v>
      </c>
      <c r="E70" s="358">
        <v>360</v>
      </c>
      <c r="F70" s="359">
        <v>0</v>
      </c>
      <c r="G70" s="360"/>
      <c r="H70" s="361"/>
      <c r="I70" s="358">
        <v>450</v>
      </c>
      <c r="J70" s="359">
        <v>0</v>
      </c>
      <c r="K70" s="360"/>
      <c r="L70" s="361"/>
      <c r="M70" s="358">
        <v>605</v>
      </c>
      <c r="N70" s="359">
        <v>0</v>
      </c>
      <c r="O70" s="360"/>
      <c r="P70" s="361"/>
      <c r="Q70" s="358">
        <v>1415</v>
      </c>
      <c r="R70" s="362">
        <v>0</v>
      </c>
      <c r="S70" s="360">
        <v>0</v>
      </c>
      <c r="T70" s="361"/>
      <c r="V70" s="363">
        <v>360</v>
      </c>
      <c r="W70" s="360"/>
      <c r="X70" s="363">
        <v>450</v>
      </c>
      <c r="Y70" s="360"/>
      <c r="Z70" s="363">
        <v>453.75</v>
      </c>
      <c r="AA70" s="360"/>
      <c r="AB70" s="359">
        <v>1263.75</v>
      </c>
      <c r="AC70" s="360">
        <v>0</v>
      </c>
      <c r="AD70" s="363">
        <v>0</v>
      </c>
      <c r="AE70" s="360"/>
      <c r="AF70" s="363">
        <v>0</v>
      </c>
      <c r="AG70" s="360"/>
      <c r="AH70" s="363">
        <v>0</v>
      </c>
      <c r="AI70" s="360"/>
      <c r="AJ70" s="363">
        <v>0</v>
      </c>
      <c r="AK70" s="361">
        <v>0</v>
      </c>
      <c r="AL70" s="363">
        <v>1263.75</v>
      </c>
      <c r="AM70" s="361">
        <v>0</v>
      </c>
      <c r="AO70" s="363">
        <v>0</v>
      </c>
      <c r="AP70" s="360"/>
      <c r="AQ70" s="363">
        <v>0</v>
      </c>
      <c r="AR70" s="360"/>
      <c r="AS70" s="363">
        <v>0</v>
      </c>
      <c r="AT70" s="360"/>
      <c r="AU70" s="363">
        <v>0</v>
      </c>
      <c r="AV70" s="361">
        <v>0</v>
      </c>
    </row>
    <row r="71" spans="2:48" x14ac:dyDescent="0.25">
      <c r="B71" s="364" t="s">
        <v>345</v>
      </c>
      <c r="C71">
        <v>205999</v>
      </c>
      <c r="D71" t="s">
        <v>894</v>
      </c>
      <c r="E71" s="358">
        <v>2700</v>
      </c>
      <c r="F71" s="359">
        <v>180</v>
      </c>
      <c r="G71" s="360"/>
      <c r="H71" s="361"/>
      <c r="I71" s="358">
        <v>1350</v>
      </c>
      <c r="J71" s="359">
        <v>225</v>
      </c>
      <c r="K71" s="360"/>
      <c r="L71" s="361"/>
      <c r="M71" s="358">
        <v>2077.166666666667</v>
      </c>
      <c r="N71" s="359">
        <v>302.5</v>
      </c>
      <c r="O71" s="360"/>
      <c r="P71" s="361"/>
      <c r="Q71" s="358">
        <v>6127.166666666667</v>
      </c>
      <c r="R71" s="362">
        <v>707.5</v>
      </c>
      <c r="S71" s="360">
        <v>0</v>
      </c>
      <c r="T71" s="361"/>
      <c r="V71" s="363">
        <v>540</v>
      </c>
      <c r="W71" s="360"/>
      <c r="X71" s="363">
        <v>225</v>
      </c>
      <c r="Y71" s="360"/>
      <c r="Z71" s="363">
        <v>453.75</v>
      </c>
      <c r="AA71" s="360"/>
      <c r="AB71" s="359">
        <v>1218.75</v>
      </c>
      <c r="AC71" s="360">
        <v>0</v>
      </c>
      <c r="AD71" s="363">
        <v>900</v>
      </c>
      <c r="AE71" s="360"/>
      <c r="AF71" s="363">
        <v>1125</v>
      </c>
      <c r="AG71" s="360"/>
      <c r="AH71" s="363">
        <v>756.25</v>
      </c>
      <c r="AI71" s="360"/>
      <c r="AJ71" s="363">
        <v>2781.25</v>
      </c>
      <c r="AK71" s="361">
        <v>0</v>
      </c>
      <c r="AL71" s="363">
        <v>4000</v>
      </c>
      <c r="AM71" s="361">
        <v>0</v>
      </c>
      <c r="AO71" s="363">
        <v>1620</v>
      </c>
      <c r="AP71" s="360"/>
      <c r="AQ71" s="363">
        <v>0</v>
      </c>
      <c r="AR71" s="360"/>
      <c r="AS71" s="363">
        <v>1472.1666666666667</v>
      </c>
      <c r="AT71" s="360"/>
      <c r="AU71" s="363">
        <v>3092.166666666667</v>
      </c>
      <c r="AV71" s="361">
        <v>0</v>
      </c>
    </row>
    <row r="72" spans="2:48" x14ac:dyDescent="0.25">
      <c r="B72" s="364" t="s">
        <v>347</v>
      </c>
      <c r="C72" t="s">
        <v>346</v>
      </c>
      <c r="D72" t="s">
        <v>895</v>
      </c>
      <c r="E72" s="358">
        <v>720</v>
      </c>
      <c r="F72" s="359">
        <v>360</v>
      </c>
      <c r="G72" s="360"/>
      <c r="H72" s="361"/>
      <c r="I72" s="358">
        <v>241.07142857142858</v>
      </c>
      <c r="J72" s="359">
        <v>225</v>
      </c>
      <c r="K72" s="360"/>
      <c r="L72" s="361"/>
      <c r="M72" s="358">
        <v>453.75</v>
      </c>
      <c r="N72" s="359">
        <v>272.25</v>
      </c>
      <c r="O72" s="360"/>
      <c r="P72" s="361"/>
      <c r="Q72" s="358">
        <v>1414.8214285714284</v>
      </c>
      <c r="R72" s="362">
        <v>857.25</v>
      </c>
      <c r="S72" s="360">
        <v>0</v>
      </c>
      <c r="T72" s="361"/>
      <c r="V72" s="363">
        <v>540</v>
      </c>
      <c r="W72" s="360"/>
      <c r="X72" s="363">
        <v>16.071428571428569</v>
      </c>
      <c r="Y72" s="360"/>
      <c r="Z72" s="363">
        <v>272.25</v>
      </c>
      <c r="AA72" s="360"/>
      <c r="AB72" s="359">
        <v>828.32142857142856</v>
      </c>
      <c r="AC72" s="360">
        <v>0</v>
      </c>
      <c r="AD72" s="363">
        <v>540</v>
      </c>
      <c r="AE72" s="360"/>
      <c r="AF72" s="363">
        <v>225</v>
      </c>
      <c r="AG72" s="360"/>
      <c r="AH72" s="363">
        <v>453.75</v>
      </c>
      <c r="AI72" s="360"/>
      <c r="AJ72" s="363">
        <v>1218.75</v>
      </c>
      <c r="AK72" s="361">
        <v>0</v>
      </c>
      <c r="AL72" s="363">
        <v>2047.0714285714284</v>
      </c>
      <c r="AM72" s="361">
        <v>0</v>
      </c>
      <c r="AO72" s="363">
        <v>0</v>
      </c>
      <c r="AP72" s="360"/>
      <c r="AQ72" s="363">
        <v>0</v>
      </c>
      <c r="AR72" s="360"/>
      <c r="AS72" s="363">
        <v>0</v>
      </c>
      <c r="AT72" s="360"/>
      <c r="AU72" s="363">
        <v>0</v>
      </c>
      <c r="AV72" s="361">
        <v>0</v>
      </c>
    </row>
    <row r="73" spans="2:48" x14ac:dyDescent="0.25">
      <c r="B73" s="364" t="s">
        <v>349</v>
      </c>
      <c r="C73" t="s">
        <v>348</v>
      </c>
      <c r="D73" t="s">
        <v>896</v>
      </c>
      <c r="E73" s="358">
        <v>1260</v>
      </c>
      <c r="F73" s="359">
        <v>1260</v>
      </c>
      <c r="G73" s="360"/>
      <c r="H73" s="361"/>
      <c r="I73" s="358">
        <v>900</v>
      </c>
      <c r="J73" s="359">
        <v>900</v>
      </c>
      <c r="K73" s="360"/>
      <c r="L73" s="361"/>
      <c r="M73" s="358">
        <v>907.5</v>
      </c>
      <c r="N73" s="359">
        <v>806.66666666666663</v>
      </c>
      <c r="O73" s="360"/>
      <c r="P73" s="361"/>
      <c r="Q73" s="358">
        <v>3067.5</v>
      </c>
      <c r="R73" s="362">
        <v>2966.6666666666665</v>
      </c>
      <c r="S73" s="360">
        <v>0</v>
      </c>
      <c r="T73" s="361"/>
      <c r="V73" s="363">
        <v>0</v>
      </c>
      <c r="W73" s="360"/>
      <c r="X73" s="363">
        <v>0</v>
      </c>
      <c r="Y73" s="360"/>
      <c r="Z73" s="363">
        <v>0</v>
      </c>
      <c r="AA73" s="360"/>
      <c r="AB73" s="359">
        <v>0</v>
      </c>
      <c r="AC73" s="360">
        <v>0</v>
      </c>
      <c r="AD73" s="363">
        <v>1440</v>
      </c>
      <c r="AE73" s="360"/>
      <c r="AF73" s="363">
        <v>450</v>
      </c>
      <c r="AG73" s="360"/>
      <c r="AH73" s="363">
        <v>907.5</v>
      </c>
      <c r="AI73" s="360"/>
      <c r="AJ73" s="363">
        <v>2797.5</v>
      </c>
      <c r="AK73" s="361">
        <v>0</v>
      </c>
      <c r="AL73" s="363">
        <v>2797.5</v>
      </c>
      <c r="AM73" s="361">
        <v>0</v>
      </c>
      <c r="AO73" s="363">
        <v>0</v>
      </c>
      <c r="AP73" s="360"/>
      <c r="AQ73" s="363">
        <v>0</v>
      </c>
      <c r="AR73" s="360"/>
      <c r="AS73" s="363">
        <v>0</v>
      </c>
      <c r="AT73" s="360"/>
      <c r="AU73" s="363">
        <v>0</v>
      </c>
      <c r="AV73" s="361">
        <v>0</v>
      </c>
    </row>
    <row r="74" spans="2:48" x14ac:dyDescent="0.25">
      <c r="B74" s="364" t="s">
        <v>350</v>
      </c>
      <c r="C74">
        <v>205921</v>
      </c>
      <c r="D74" t="s">
        <v>897</v>
      </c>
      <c r="E74" s="358">
        <v>1080</v>
      </c>
      <c r="F74" s="359">
        <v>1080</v>
      </c>
      <c r="G74" s="360"/>
      <c r="H74" s="361"/>
      <c r="I74" s="358">
        <v>900</v>
      </c>
      <c r="J74" s="359">
        <v>1350</v>
      </c>
      <c r="K74" s="360"/>
      <c r="L74" s="361"/>
      <c r="M74" s="358">
        <v>302.5</v>
      </c>
      <c r="N74" s="359">
        <v>151.25</v>
      </c>
      <c r="O74" s="360"/>
      <c r="P74" s="361"/>
      <c r="Q74" s="358">
        <v>2282.5</v>
      </c>
      <c r="R74" s="362">
        <v>2581.25</v>
      </c>
      <c r="S74" s="360">
        <v>0</v>
      </c>
      <c r="T74" s="361"/>
      <c r="V74" s="363">
        <v>360</v>
      </c>
      <c r="W74" s="360"/>
      <c r="X74" s="363">
        <v>0</v>
      </c>
      <c r="Y74" s="360"/>
      <c r="Z74" s="363">
        <v>151.25</v>
      </c>
      <c r="AA74" s="360"/>
      <c r="AB74" s="359">
        <v>511.25</v>
      </c>
      <c r="AC74" s="360">
        <v>0</v>
      </c>
      <c r="AD74" s="363">
        <v>720</v>
      </c>
      <c r="AE74" s="360"/>
      <c r="AF74" s="363">
        <v>225</v>
      </c>
      <c r="AG74" s="360"/>
      <c r="AH74" s="363">
        <v>0</v>
      </c>
      <c r="AI74" s="360"/>
      <c r="AJ74" s="363">
        <v>945</v>
      </c>
      <c r="AK74" s="361">
        <v>0</v>
      </c>
      <c r="AL74" s="363">
        <v>1456.25</v>
      </c>
      <c r="AM74" s="361">
        <v>0</v>
      </c>
      <c r="AO74" s="363">
        <v>0</v>
      </c>
      <c r="AP74" s="360"/>
      <c r="AQ74" s="363">
        <v>0</v>
      </c>
      <c r="AR74" s="360"/>
      <c r="AS74" s="363">
        <v>0</v>
      </c>
      <c r="AT74" s="360"/>
      <c r="AU74" s="363">
        <v>0</v>
      </c>
      <c r="AV74" s="361">
        <v>0</v>
      </c>
    </row>
    <row r="75" spans="2:48" x14ac:dyDescent="0.25">
      <c r="B75" s="364" t="s">
        <v>351</v>
      </c>
      <c r="C75">
        <v>206011</v>
      </c>
      <c r="D75" t="s">
        <v>898</v>
      </c>
      <c r="E75" s="358">
        <v>-178.20000000000005</v>
      </c>
      <c r="F75" s="359">
        <v>96</v>
      </c>
      <c r="G75" s="360"/>
      <c r="H75" s="361"/>
      <c r="I75" s="358">
        <v>225</v>
      </c>
      <c r="J75" s="359">
        <v>0</v>
      </c>
      <c r="K75" s="360"/>
      <c r="L75" s="361"/>
      <c r="M75" s="358">
        <v>302.5</v>
      </c>
      <c r="N75" s="359">
        <v>90.75</v>
      </c>
      <c r="O75" s="360"/>
      <c r="P75" s="361"/>
      <c r="Q75" s="358">
        <v>349.29999999999995</v>
      </c>
      <c r="R75" s="362">
        <v>186.75</v>
      </c>
      <c r="S75" s="360">
        <v>0</v>
      </c>
      <c r="T75" s="361"/>
      <c r="V75" s="363">
        <v>276</v>
      </c>
      <c r="W75" s="360"/>
      <c r="X75" s="363">
        <v>0</v>
      </c>
      <c r="Y75" s="360"/>
      <c r="Z75" s="363">
        <v>242</v>
      </c>
      <c r="AA75" s="360"/>
      <c r="AB75" s="359">
        <v>518</v>
      </c>
      <c r="AC75" s="360">
        <v>0</v>
      </c>
      <c r="AD75" s="363">
        <v>0</v>
      </c>
      <c r="AE75" s="360"/>
      <c r="AF75" s="363">
        <v>0</v>
      </c>
      <c r="AG75" s="360"/>
      <c r="AH75" s="363">
        <v>0</v>
      </c>
      <c r="AI75" s="360"/>
      <c r="AJ75" s="363">
        <v>0</v>
      </c>
      <c r="AK75" s="361">
        <v>0</v>
      </c>
      <c r="AL75" s="363">
        <v>518</v>
      </c>
      <c r="AM75" s="361">
        <v>0</v>
      </c>
      <c r="AO75" s="363">
        <v>0</v>
      </c>
      <c r="AP75" s="360"/>
      <c r="AQ75" s="363">
        <v>0</v>
      </c>
      <c r="AR75" s="360"/>
      <c r="AS75" s="363">
        <v>0</v>
      </c>
      <c r="AT75" s="360"/>
      <c r="AU75" s="363">
        <v>0</v>
      </c>
      <c r="AV75" s="361">
        <v>0</v>
      </c>
    </row>
    <row r="76" spans="2:48" x14ac:dyDescent="0.25">
      <c r="B76" s="364" t="s">
        <v>352</v>
      </c>
      <c r="C76" t="s">
        <v>899</v>
      </c>
      <c r="D76" t="s">
        <v>899</v>
      </c>
      <c r="E76" s="358">
        <v>981</v>
      </c>
      <c r="F76" s="359">
        <v>0</v>
      </c>
      <c r="G76" s="360"/>
      <c r="H76" s="361"/>
      <c r="I76" s="358">
        <v>225</v>
      </c>
      <c r="J76" s="359">
        <v>225</v>
      </c>
      <c r="K76" s="360"/>
      <c r="L76" s="361"/>
      <c r="M76" s="358">
        <v>165</v>
      </c>
      <c r="N76" s="359">
        <v>0</v>
      </c>
      <c r="O76" s="360"/>
      <c r="P76" s="361"/>
      <c r="Q76" s="358">
        <v>1371</v>
      </c>
      <c r="R76" s="362">
        <v>225</v>
      </c>
      <c r="S76" s="360">
        <v>0</v>
      </c>
      <c r="T76" s="361"/>
      <c r="V76" s="363">
        <v>0</v>
      </c>
      <c r="W76" s="360"/>
      <c r="X76" s="363">
        <v>210</v>
      </c>
      <c r="Y76" s="360"/>
      <c r="Z76" s="363">
        <v>165</v>
      </c>
      <c r="AA76" s="360"/>
      <c r="AB76" s="359">
        <v>375</v>
      </c>
      <c r="AC76" s="360">
        <v>0</v>
      </c>
      <c r="AD76" s="363">
        <v>0</v>
      </c>
      <c r="AE76" s="360"/>
      <c r="AF76" s="363">
        <v>0</v>
      </c>
      <c r="AG76" s="360"/>
      <c r="AH76" s="363">
        <v>0</v>
      </c>
      <c r="AI76" s="360"/>
      <c r="AJ76" s="363">
        <v>0</v>
      </c>
      <c r="AK76" s="361">
        <v>0</v>
      </c>
      <c r="AL76" s="363">
        <v>375</v>
      </c>
      <c r="AM76" s="361">
        <v>0</v>
      </c>
      <c r="AO76" s="363">
        <v>0</v>
      </c>
      <c r="AP76" s="360"/>
      <c r="AQ76" s="363">
        <v>0</v>
      </c>
      <c r="AR76" s="360"/>
      <c r="AS76" s="363">
        <v>0</v>
      </c>
      <c r="AT76" s="360"/>
      <c r="AU76" s="363">
        <v>0</v>
      </c>
      <c r="AV76" s="361">
        <v>0</v>
      </c>
    </row>
    <row r="77" spans="2:48" x14ac:dyDescent="0.25">
      <c r="B77" s="364" t="s">
        <v>356</v>
      </c>
      <c r="C77" t="s">
        <v>355</v>
      </c>
      <c r="D77" t="s">
        <v>900</v>
      </c>
      <c r="E77" s="358">
        <v>180</v>
      </c>
      <c r="F77" s="359">
        <v>180</v>
      </c>
      <c r="G77" s="360"/>
      <c r="H77" s="361"/>
      <c r="I77" s="358">
        <v>726.42857142857144</v>
      </c>
      <c r="J77" s="359">
        <v>450</v>
      </c>
      <c r="K77" s="360"/>
      <c r="L77" s="361"/>
      <c r="M77" s="358">
        <v>151.25</v>
      </c>
      <c r="N77" s="359">
        <v>151.25</v>
      </c>
      <c r="O77" s="360"/>
      <c r="P77" s="361"/>
      <c r="Q77" s="358">
        <v>1057.6785714285716</v>
      </c>
      <c r="R77" s="362">
        <v>781.25</v>
      </c>
      <c r="S77" s="360">
        <v>0</v>
      </c>
      <c r="T77" s="361"/>
      <c r="V77" s="363">
        <v>360</v>
      </c>
      <c r="W77" s="360"/>
      <c r="X77" s="363">
        <v>450</v>
      </c>
      <c r="Y77" s="360"/>
      <c r="Z77" s="363">
        <v>302.5</v>
      </c>
      <c r="AA77" s="360"/>
      <c r="AB77" s="359">
        <v>1112.5</v>
      </c>
      <c r="AC77" s="360">
        <v>0</v>
      </c>
      <c r="AD77" s="363">
        <v>0</v>
      </c>
      <c r="AE77" s="360"/>
      <c r="AF77" s="363">
        <v>225</v>
      </c>
      <c r="AG77" s="360"/>
      <c r="AH77" s="363">
        <v>0</v>
      </c>
      <c r="AI77" s="360"/>
      <c r="AJ77" s="363">
        <v>225</v>
      </c>
      <c r="AK77" s="361">
        <v>0</v>
      </c>
      <c r="AL77" s="363">
        <v>1337.5</v>
      </c>
      <c r="AM77" s="361">
        <v>0</v>
      </c>
      <c r="AO77" s="363">
        <v>0</v>
      </c>
      <c r="AP77" s="360"/>
      <c r="AQ77" s="363">
        <v>0</v>
      </c>
      <c r="AR77" s="360"/>
      <c r="AS77" s="363">
        <v>0</v>
      </c>
      <c r="AT77" s="360"/>
      <c r="AU77" s="363">
        <v>0</v>
      </c>
      <c r="AV77" s="361">
        <v>0</v>
      </c>
    </row>
    <row r="78" spans="2:48" x14ac:dyDescent="0.25">
      <c r="B78" s="364" t="s">
        <v>358</v>
      </c>
      <c r="C78" t="s">
        <v>357</v>
      </c>
      <c r="D78" t="s">
        <v>901</v>
      </c>
      <c r="E78" s="358">
        <v>360</v>
      </c>
      <c r="F78" s="359">
        <v>360</v>
      </c>
      <c r="G78" s="360"/>
      <c r="H78" s="361"/>
      <c r="I78" s="358">
        <v>0</v>
      </c>
      <c r="J78" s="359">
        <v>225</v>
      </c>
      <c r="K78" s="360"/>
      <c r="L78" s="361"/>
      <c r="M78" s="358">
        <v>302.5</v>
      </c>
      <c r="N78" s="359">
        <v>302.5</v>
      </c>
      <c r="O78" s="360"/>
      <c r="P78" s="361"/>
      <c r="Q78" s="358">
        <v>662.5</v>
      </c>
      <c r="R78" s="362">
        <v>887.5</v>
      </c>
      <c r="S78" s="360">
        <v>0</v>
      </c>
      <c r="T78" s="361"/>
      <c r="V78" s="363">
        <v>0</v>
      </c>
      <c r="W78" s="360"/>
      <c r="X78" s="363">
        <v>0</v>
      </c>
      <c r="Y78" s="360"/>
      <c r="Z78" s="363">
        <v>0</v>
      </c>
      <c r="AA78" s="360"/>
      <c r="AB78" s="359">
        <v>0</v>
      </c>
      <c r="AC78" s="360">
        <v>0</v>
      </c>
      <c r="AD78" s="363">
        <v>0</v>
      </c>
      <c r="AE78" s="360"/>
      <c r="AF78" s="363">
        <v>0</v>
      </c>
      <c r="AG78" s="360"/>
      <c r="AH78" s="363">
        <v>0</v>
      </c>
      <c r="AI78" s="360"/>
      <c r="AJ78" s="363">
        <v>0</v>
      </c>
      <c r="AK78" s="361">
        <v>0</v>
      </c>
      <c r="AL78" s="363">
        <v>0</v>
      </c>
      <c r="AM78" s="361">
        <v>0</v>
      </c>
      <c r="AO78" s="363">
        <v>0</v>
      </c>
      <c r="AP78" s="360"/>
      <c r="AQ78" s="363">
        <v>0</v>
      </c>
      <c r="AR78" s="360"/>
      <c r="AS78" s="363">
        <v>0</v>
      </c>
      <c r="AT78" s="360"/>
      <c r="AU78" s="363">
        <v>0</v>
      </c>
      <c r="AV78" s="361">
        <v>0</v>
      </c>
    </row>
    <row r="79" spans="2:48" x14ac:dyDescent="0.25">
      <c r="B79" s="364" t="s">
        <v>360</v>
      </c>
      <c r="C79" t="s">
        <v>359</v>
      </c>
      <c r="D79" t="s">
        <v>902</v>
      </c>
      <c r="E79" s="358">
        <v>360</v>
      </c>
      <c r="F79" s="359">
        <v>180</v>
      </c>
      <c r="G79" s="360"/>
      <c r="H79" s="361"/>
      <c r="I79" s="358">
        <v>225</v>
      </c>
      <c r="J79" s="359">
        <v>0</v>
      </c>
      <c r="K79" s="360"/>
      <c r="L79" s="361"/>
      <c r="M79" s="358">
        <v>151.25</v>
      </c>
      <c r="N79" s="359">
        <v>151.25</v>
      </c>
      <c r="O79" s="360"/>
      <c r="P79" s="361"/>
      <c r="Q79" s="358">
        <v>736.25</v>
      </c>
      <c r="R79" s="362">
        <v>331.25</v>
      </c>
      <c r="S79" s="360">
        <v>0</v>
      </c>
      <c r="T79" s="361"/>
      <c r="V79" s="363">
        <v>0</v>
      </c>
      <c r="W79" s="360"/>
      <c r="X79" s="363">
        <v>0</v>
      </c>
      <c r="Y79" s="360"/>
      <c r="Z79" s="363">
        <v>0</v>
      </c>
      <c r="AA79" s="360"/>
      <c r="AB79" s="359">
        <v>0</v>
      </c>
      <c r="AC79" s="360">
        <v>0</v>
      </c>
      <c r="AD79" s="363">
        <v>180</v>
      </c>
      <c r="AE79" s="360"/>
      <c r="AF79" s="363">
        <v>225</v>
      </c>
      <c r="AG79" s="360"/>
      <c r="AH79" s="363">
        <v>0</v>
      </c>
      <c r="AI79" s="360"/>
      <c r="AJ79" s="363">
        <v>405</v>
      </c>
      <c r="AK79" s="361">
        <v>0</v>
      </c>
      <c r="AL79" s="363">
        <v>405</v>
      </c>
      <c r="AM79" s="361">
        <v>0</v>
      </c>
      <c r="AO79" s="363">
        <v>0</v>
      </c>
      <c r="AP79" s="360"/>
      <c r="AQ79" s="363">
        <v>0</v>
      </c>
      <c r="AR79" s="360"/>
      <c r="AS79" s="363">
        <v>0</v>
      </c>
      <c r="AT79" s="360"/>
      <c r="AU79" s="363">
        <v>0</v>
      </c>
      <c r="AV79" s="361">
        <v>0</v>
      </c>
    </row>
    <row r="80" spans="2:48" x14ac:dyDescent="0.25">
      <c r="B80" s="364" t="s">
        <v>361</v>
      </c>
      <c r="C80">
        <v>2549324</v>
      </c>
      <c r="D80" t="s">
        <v>903</v>
      </c>
      <c r="E80" s="358">
        <v>1800</v>
      </c>
      <c r="F80" s="359">
        <v>1440</v>
      </c>
      <c r="G80" s="360"/>
      <c r="H80" s="361"/>
      <c r="I80" s="358">
        <v>1125</v>
      </c>
      <c r="J80" s="359">
        <v>1350</v>
      </c>
      <c r="K80" s="360"/>
      <c r="L80" s="361"/>
      <c r="M80" s="358">
        <v>907.5</v>
      </c>
      <c r="N80" s="359">
        <v>756.25</v>
      </c>
      <c r="O80" s="360"/>
      <c r="P80" s="361"/>
      <c r="Q80" s="358">
        <v>3832.5</v>
      </c>
      <c r="R80" s="362">
        <v>3546.25</v>
      </c>
      <c r="S80" s="360">
        <v>0</v>
      </c>
      <c r="T80" s="361"/>
      <c r="V80" s="363">
        <v>540</v>
      </c>
      <c r="W80" s="360"/>
      <c r="X80" s="363">
        <v>0</v>
      </c>
      <c r="Y80" s="360"/>
      <c r="Z80" s="363">
        <v>151.25</v>
      </c>
      <c r="AA80" s="360"/>
      <c r="AB80" s="359">
        <v>691.25</v>
      </c>
      <c r="AC80" s="360">
        <v>0</v>
      </c>
      <c r="AD80" s="363">
        <v>540</v>
      </c>
      <c r="AE80" s="360"/>
      <c r="AF80" s="363">
        <v>225</v>
      </c>
      <c r="AG80" s="360"/>
      <c r="AH80" s="363">
        <v>605</v>
      </c>
      <c r="AI80" s="360"/>
      <c r="AJ80" s="363">
        <v>1370</v>
      </c>
      <c r="AK80" s="361">
        <v>0</v>
      </c>
      <c r="AL80" s="363">
        <v>2061.25</v>
      </c>
      <c r="AM80" s="361">
        <v>0</v>
      </c>
      <c r="AO80" s="363">
        <v>0</v>
      </c>
      <c r="AP80" s="360"/>
      <c r="AQ80" s="363">
        <v>0</v>
      </c>
      <c r="AR80" s="360"/>
      <c r="AS80" s="363">
        <v>0</v>
      </c>
      <c r="AT80" s="360"/>
      <c r="AU80" s="363">
        <v>0</v>
      </c>
      <c r="AV80" s="361">
        <v>0</v>
      </c>
    </row>
    <row r="81" spans="2:48" x14ac:dyDescent="0.25">
      <c r="B81" s="364" t="s">
        <v>904</v>
      </c>
      <c r="C81" t="s">
        <v>905</v>
      </c>
      <c r="D81" t="s">
        <v>905</v>
      </c>
      <c r="E81" s="358">
        <v>0</v>
      </c>
      <c r="F81" s="359">
        <v>0</v>
      </c>
      <c r="G81" s="360"/>
      <c r="H81" s="361"/>
      <c r="I81" s="358">
        <v>225</v>
      </c>
      <c r="J81" s="359">
        <v>45</v>
      </c>
      <c r="K81" s="360"/>
      <c r="L81" s="361"/>
      <c r="M81" s="358">
        <v>0</v>
      </c>
      <c r="N81" s="359">
        <v>0</v>
      </c>
      <c r="O81" s="360"/>
      <c r="P81" s="361"/>
      <c r="Q81" s="358">
        <v>225</v>
      </c>
      <c r="R81" s="362">
        <v>45</v>
      </c>
      <c r="S81" s="360">
        <v>0</v>
      </c>
      <c r="T81" s="361"/>
      <c r="V81" s="363">
        <v>0</v>
      </c>
      <c r="W81" s="360"/>
      <c r="X81" s="363">
        <v>0</v>
      </c>
      <c r="Y81" s="360"/>
      <c r="Z81" s="363">
        <v>0</v>
      </c>
      <c r="AA81" s="360"/>
      <c r="AB81" s="359">
        <v>0</v>
      </c>
      <c r="AC81" s="360">
        <v>0</v>
      </c>
      <c r="AD81" s="363">
        <v>0</v>
      </c>
      <c r="AE81" s="360"/>
      <c r="AF81" s="363">
        <v>0</v>
      </c>
      <c r="AG81" s="360"/>
      <c r="AH81" s="363">
        <v>0</v>
      </c>
      <c r="AI81" s="360"/>
      <c r="AJ81" s="363">
        <v>0</v>
      </c>
      <c r="AK81" s="361">
        <v>0</v>
      </c>
      <c r="AL81" s="363">
        <v>0</v>
      </c>
      <c r="AM81" s="361">
        <v>0</v>
      </c>
      <c r="AO81" s="363">
        <v>0</v>
      </c>
      <c r="AP81" s="360"/>
      <c r="AQ81" s="363">
        <v>0</v>
      </c>
      <c r="AR81" s="360"/>
      <c r="AS81" s="363">
        <v>0</v>
      </c>
      <c r="AT81" s="360"/>
      <c r="AU81" s="363">
        <v>0</v>
      </c>
      <c r="AV81" s="361">
        <v>0</v>
      </c>
    </row>
    <row r="82" spans="2:48" x14ac:dyDescent="0.25">
      <c r="B82" s="364" t="s">
        <v>364</v>
      </c>
      <c r="C82">
        <v>2519477</v>
      </c>
      <c r="D82" t="s">
        <v>906</v>
      </c>
      <c r="E82" s="358">
        <v>180</v>
      </c>
      <c r="F82" s="359">
        <v>60</v>
      </c>
      <c r="G82" s="360"/>
      <c r="H82" s="361"/>
      <c r="I82" s="358">
        <v>225</v>
      </c>
      <c r="J82" s="359">
        <v>300</v>
      </c>
      <c r="K82" s="360"/>
      <c r="L82" s="361"/>
      <c r="M82" s="358">
        <v>151.25</v>
      </c>
      <c r="N82" s="359">
        <v>151.25</v>
      </c>
      <c r="O82" s="360"/>
      <c r="P82" s="361"/>
      <c r="Q82" s="358">
        <v>556.25</v>
      </c>
      <c r="R82" s="362">
        <v>511.25</v>
      </c>
      <c r="S82" s="360">
        <v>0</v>
      </c>
      <c r="T82" s="361"/>
      <c r="V82" s="363">
        <v>0</v>
      </c>
      <c r="W82" s="360"/>
      <c r="X82" s="363">
        <v>0</v>
      </c>
      <c r="Y82" s="360"/>
      <c r="Z82" s="363">
        <v>0</v>
      </c>
      <c r="AA82" s="360"/>
      <c r="AB82" s="359">
        <v>0</v>
      </c>
      <c r="AC82" s="360">
        <v>0</v>
      </c>
      <c r="AD82" s="363">
        <v>0</v>
      </c>
      <c r="AE82" s="360"/>
      <c r="AF82" s="363">
        <v>0</v>
      </c>
      <c r="AG82" s="360"/>
      <c r="AH82" s="363">
        <v>0</v>
      </c>
      <c r="AI82" s="360"/>
      <c r="AJ82" s="363">
        <v>0</v>
      </c>
      <c r="AK82" s="361">
        <v>0</v>
      </c>
      <c r="AL82" s="363">
        <v>0</v>
      </c>
      <c r="AM82" s="361">
        <v>0</v>
      </c>
      <c r="AO82" s="363">
        <v>0</v>
      </c>
      <c r="AP82" s="360"/>
      <c r="AQ82" s="363">
        <v>0</v>
      </c>
      <c r="AR82" s="360"/>
      <c r="AS82" s="363">
        <v>0</v>
      </c>
      <c r="AT82" s="360"/>
      <c r="AU82" s="363">
        <v>0</v>
      </c>
      <c r="AV82" s="361">
        <v>0</v>
      </c>
    </row>
    <row r="83" spans="2:48" x14ac:dyDescent="0.25">
      <c r="B83" s="364" t="s">
        <v>368</v>
      </c>
      <c r="C83" t="s">
        <v>367</v>
      </c>
      <c r="D83" t="s">
        <v>907</v>
      </c>
      <c r="E83" s="358">
        <v>360</v>
      </c>
      <c r="F83" s="359">
        <v>180</v>
      </c>
      <c r="G83" s="360"/>
      <c r="H83" s="361"/>
      <c r="I83" s="358">
        <v>0</v>
      </c>
      <c r="J83" s="359">
        <v>0</v>
      </c>
      <c r="K83" s="360"/>
      <c r="L83" s="361"/>
      <c r="M83" s="358">
        <v>302.5</v>
      </c>
      <c r="N83" s="359">
        <v>302.5</v>
      </c>
      <c r="O83" s="360"/>
      <c r="P83" s="361"/>
      <c r="Q83" s="358">
        <v>662.5</v>
      </c>
      <c r="R83" s="362">
        <v>482.5</v>
      </c>
      <c r="S83" s="360">
        <v>0</v>
      </c>
      <c r="T83" s="361"/>
      <c r="V83" s="363">
        <v>0</v>
      </c>
      <c r="W83" s="360"/>
      <c r="X83" s="363">
        <v>0</v>
      </c>
      <c r="Y83" s="360"/>
      <c r="Z83" s="363">
        <v>0</v>
      </c>
      <c r="AA83" s="360"/>
      <c r="AB83" s="359">
        <v>0</v>
      </c>
      <c r="AC83" s="360">
        <v>0</v>
      </c>
      <c r="AD83" s="363">
        <v>360</v>
      </c>
      <c r="AE83" s="360"/>
      <c r="AF83" s="363">
        <v>0</v>
      </c>
      <c r="AG83" s="360"/>
      <c r="AH83" s="363">
        <v>302.5</v>
      </c>
      <c r="AI83" s="360"/>
      <c r="AJ83" s="363">
        <v>662.5</v>
      </c>
      <c r="AK83" s="361">
        <v>0</v>
      </c>
      <c r="AL83" s="363">
        <v>662.5</v>
      </c>
      <c r="AM83" s="361">
        <v>0</v>
      </c>
      <c r="AO83" s="363">
        <v>0</v>
      </c>
      <c r="AP83" s="360"/>
      <c r="AQ83" s="363">
        <v>0</v>
      </c>
      <c r="AR83" s="360"/>
      <c r="AS83" s="363">
        <v>0</v>
      </c>
      <c r="AT83" s="360"/>
      <c r="AU83" s="363">
        <v>0</v>
      </c>
      <c r="AV83" s="361">
        <v>0</v>
      </c>
    </row>
    <row r="84" spans="2:48" x14ac:dyDescent="0.25">
      <c r="B84" s="364" t="s">
        <v>908</v>
      </c>
      <c r="C84" t="s">
        <v>909</v>
      </c>
      <c r="D84" t="s">
        <v>909</v>
      </c>
      <c r="E84" s="358">
        <v>0</v>
      </c>
      <c r="F84" s="359">
        <v>0</v>
      </c>
      <c r="G84" s="360"/>
      <c r="H84" s="361"/>
      <c r="I84" s="358">
        <v>0</v>
      </c>
      <c r="J84" s="359">
        <v>180</v>
      </c>
      <c r="K84" s="360"/>
      <c r="L84" s="361"/>
      <c r="M84" s="358">
        <v>0</v>
      </c>
      <c r="N84" s="359">
        <v>0</v>
      </c>
      <c r="O84" s="360"/>
      <c r="P84" s="361"/>
      <c r="Q84" s="358">
        <v>0</v>
      </c>
      <c r="R84" s="362">
        <v>180</v>
      </c>
      <c r="S84" s="360">
        <v>0</v>
      </c>
      <c r="T84" s="361"/>
      <c r="V84" s="363">
        <v>0</v>
      </c>
      <c r="W84" s="360"/>
      <c r="X84" s="363">
        <v>0</v>
      </c>
      <c r="Y84" s="360"/>
      <c r="Z84" s="363">
        <v>0</v>
      </c>
      <c r="AA84" s="360"/>
      <c r="AB84" s="359">
        <v>0</v>
      </c>
      <c r="AC84" s="360">
        <v>0</v>
      </c>
      <c r="AD84" s="363">
        <v>0</v>
      </c>
      <c r="AE84" s="360"/>
      <c r="AF84" s="363">
        <v>0</v>
      </c>
      <c r="AG84" s="360"/>
      <c r="AH84" s="363">
        <v>0</v>
      </c>
      <c r="AI84" s="360"/>
      <c r="AJ84" s="363">
        <v>0</v>
      </c>
      <c r="AK84" s="361">
        <v>0</v>
      </c>
      <c r="AL84" s="363">
        <v>0</v>
      </c>
      <c r="AM84" s="361">
        <v>0</v>
      </c>
      <c r="AO84" s="363">
        <v>0</v>
      </c>
      <c r="AP84" s="360"/>
      <c r="AQ84" s="363">
        <v>0</v>
      </c>
      <c r="AR84" s="360"/>
      <c r="AS84" s="363">
        <v>0</v>
      </c>
      <c r="AT84" s="360"/>
      <c r="AU84" s="363">
        <v>0</v>
      </c>
      <c r="AV84" s="361">
        <v>0</v>
      </c>
    </row>
    <row r="85" spans="2:48" x14ac:dyDescent="0.25">
      <c r="B85" s="364" t="s">
        <v>369</v>
      </c>
      <c r="C85">
        <v>205852</v>
      </c>
      <c r="D85" t="s">
        <v>910</v>
      </c>
      <c r="E85" s="358">
        <v>540</v>
      </c>
      <c r="F85" s="359">
        <v>360</v>
      </c>
      <c r="G85" s="360"/>
      <c r="H85" s="361"/>
      <c r="I85" s="358">
        <v>225</v>
      </c>
      <c r="J85" s="359">
        <v>225</v>
      </c>
      <c r="K85" s="360"/>
      <c r="L85" s="361"/>
      <c r="M85" s="358">
        <v>453.75</v>
      </c>
      <c r="N85" s="359">
        <v>302.5</v>
      </c>
      <c r="O85" s="360"/>
      <c r="P85" s="361"/>
      <c r="Q85" s="358">
        <v>1218.75</v>
      </c>
      <c r="R85" s="362">
        <v>887.5</v>
      </c>
      <c r="S85" s="360">
        <v>0</v>
      </c>
      <c r="T85" s="361"/>
      <c r="V85" s="363">
        <v>0</v>
      </c>
      <c r="W85" s="360"/>
      <c r="X85" s="363">
        <v>0</v>
      </c>
      <c r="Y85" s="360"/>
      <c r="Z85" s="363">
        <v>0</v>
      </c>
      <c r="AA85" s="360"/>
      <c r="AB85" s="359">
        <v>0</v>
      </c>
      <c r="AC85" s="360">
        <v>0</v>
      </c>
      <c r="AD85" s="363">
        <v>0</v>
      </c>
      <c r="AE85" s="360"/>
      <c r="AF85" s="363">
        <v>0</v>
      </c>
      <c r="AG85" s="360"/>
      <c r="AH85" s="363">
        <v>0</v>
      </c>
      <c r="AI85" s="360"/>
      <c r="AJ85" s="363">
        <v>0</v>
      </c>
      <c r="AK85" s="361">
        <v>0</v>
      </c>
      <c r="AL85" s="363">
        <v>0</v>
      </c>
      <c r="AM85" s="361">
        <v>0</v>
      </c>
      <c r="AO85" s="363">
        <v>0</v>
      </c>
      <c r="AP85" s="360"/>
      <c r="AQ85" s="363">
        <v>0</v>
      </c>
      <c r="AR85" s="360"/>
      <c r="AS85" s="363">
        <v>0</v>
      </c>
      <c r="AT85" s="360"/>
      <c r="AU85" s="363">
        <v>0</v>
      </c>
      <c r="AV85" s="361">
        <v>0</v>
      </c>
    </row>
    <row r="86" spans="2:48" x14ac:dyDescent="0.25">
      <c r="B86" s="364" t="s">
        <v>371</v>
      </c>
      <c r="C86">
        <v>205922</v>
      </c>
      <c r="D86" t="s">
        <v>911</v>
      </c>
      <c r="E86" s="358">
        <v>180</v>
      </c>
      <c r="F86" s="359">
        <v>180</v>
      </c>
      <c r="G86" s="360"/>
      <c r="H86" s="361"/>
      <c r="I86" s="358">
        <v>0</v>
      </c>
      <c r="J86" s="359">
        <v>0</v>
      </c>
      <c r="K86" s="360"/>
      <c r="L86" s="361"/>
      <c r="M86" s="358">
        <v>151.25</v>
      </c>
      <c r="N86" s="359">
        <v>151.25</v>
      </c>
      <c r="O86" s="360"/>
      <c r="P86" s="361"/>
      <c r="Q86" s="358">
        <v>331.25</v>
      </c>
      <c r="R86" s="362">
        <v>331.25</v>
      </c>
      <c r="S86" s="360">
        <v>0</v>
      </c>
      <c r="T86" s="361"/>
      <c r="V86" s="363">
        <v>360</v>
      </c>
      <c r="W86" s="360"/>
      <c r="X86" s="363">
        <v>0</v>
      </c>
      <c r="Y86" s="360"/>
      <c r="Z86" s="363">
        <v>302.5</v>
      </c>
      <c r="AA86" s="360"/>
      <c r="AB86" s="359">
        <v>662.5</v>
      </c>
      <c r="AC86" s="360">
        <v>0</v>
      </c>
      <c r="AD86" s="363">
        <v>0</v>
      </c>
      <c r="AE86" s="360"/>
      <c r="AF86" s="363">
        <v>0</v>
      </c>
      <c r="AG86" s="360"/>
      <c r="AH86" s="363">
        <v>0</v>
      </c>
      <c r="AI86" s="360"/>
      <c r="AJ86" s="363">
        <v>0</v>
      </c>
      <c r="AK86" s="361">
        <v>0</v>
      </c>
      <c r="AL86" s="363">
        <v>662.5</v>
      </c>
      <c r="AM86" s="361">
        <v>0</v>
      </c>
      <c r="AO86" s="363">
        <v>0</v>
      </c>
      <c r="AP86" s="360"/>
      <c r="AQ86" s="363">
        <v>0</v>
      </c>
      <c r="AR86" s="360"/>
      <c r="AS86" s="363">
        <v>0</v>
      </c>
      <c r="AT86" s="360"/>
      <c r="AU86" s="363">
        <v>0</v>
      </c>
      <c r="AV86" s="361">
        <v>0</v>
      </c>
    </row>
    <row r="87" spans="2:48" x14ac:dyDescent="0.25">
      <c r="B87" s="364" t="s">
        <v>373</v>
      </c>
      <c r="C87" t="s">
        <v>372</v>
      </c>
      <c r="D87" t="s">
        <v>912</v>
      </c>
      <c r="E87" s="358">
        <v>396</v>
      </c>
      <c r="F87" s="359">
        <v>540</v>
      </c>
      <c r="G87" s="360"/>
      <c r="H87" s="361"/>
      <c r="I87" s="358">
        <v>450</v>
      </c>
      <c r="J87" s="359">
        <v>450</v>
      </c>
      <c r="K87" s="360"/>
      <c r="L87" s="361"/>
      <c r="M87" s="358">
        <v>302.5</v>
      </c>
      <c r="N87" s="359">
        <v>181.5</v>
      </c>
      <c r="O87" s="360"/>
      <c r="P87" s="361"/>
      <c r="Q87" s="358">
        <v>1148.5</v>
      </c>
      <c r="R87" s="362">
        <v>1171.5</v>
      </c>
      <c r="S87" s="360">
        <v>0</v>
      </c>
      <c r="T87" s="361"/>
      <c r="V87" s="363">
        <v>216</v>
      </c>
      <c r="W87" s="360"/>
      <c r="X87" s="363">
        <v>0</v>
      </c>
      <c r="Y87" s="360"/>
      <c r="Z87" s="363">
        <v>181.5</v>
      </c>
      <c r="AA87" s="360"/>
      <c r="AB87" s="359">
        <v>397.5</v>
      </c>
      <c r="AC87" s="360">
        <v>0</v>
      </c>
      <c r="AD87" s="363">
        <v>0</v>
      </c>
      <c r="AE87" s="360"/>
      <c r="AF87" s="363">
        <v>0</v>
      </c>
      <c r="AG87" s="360"/>
      <c r="AH87" s="363">
        <v>0</v>
      </c>
      <c r="AI87" s="360"/>
      <c r="AJ87" s="363">
        <v>0</v>
      </c>
      <c r="AK87" s="361">
        <v>0</v>
      </c>
      <c r="AL87" s="363">
        <v>397.5</v>
      </c>
      <c r="AM87" s="361">
        <v>0</v>
      </c>
      <c r="AO87" s="363">
        <v>0</v>
      </c>
      <c r="AP87" s="360"/>
      <c r="AQ87" s="363">
        <v>0</v>
      </c>
      <c r="AR87" s="360"/>
      <c r="AS87" s="363">
        <v>0</v>
      </c>
      <c r="AT87" s="360"/>
      <c r="AU87" s="363">
        <v>0</v>
      </c>
      <c r="AV87" s="361">
        <v>0</v>
      </c>
    </row>
    <row r="88" spans="2:48" x14ac:dyDescent="0.25">
      <c r="B88" s="364" t="s">
        <v>375</v>
      </c>
      <c r="C88" t="s">
        <v>374</v>
      </c>
      <c r="D88" t="s">
        <v>913</v>
      </c>
      <c r="E88" s="358">
        <v>3042</v>
      </c>
      <c r="F88" s="359">
        <v>720</v>
      </c>
      <c r="G88" s="360"/>
      <c r="H88" s="361"/>
      <c r="I88" s="358">
        <v>900</v>
      </c>
      <c r="J88" s="359">
        <v>675</v>
      </c>
      <c r="K88" s="360"/>
      <c r="L88" s="361"/>
      <c r="M88" s="358">
        <v>756.25</v>
      </c>
      <c r="N88" s="359">
        <v>756.25</v>
      </c>
      <c r="O88" s="360"/>
      <c r="P88" s="361"/>
      <c r="Q88" s="358">
        <v>4698.25</v>
      </c>
      <c r="R88" s="362">
        <v>2151.25</v>
      </c>
      <c r="S88" s="360">
        <v>0</v>
      </c>
      <c r="T88" s="361"/>
      <c r="V88" s="363">
        <v>360</v>
      </c>
      <c r="W88" s="360"/>
      <c r="X88" s="363">
        <v>225</v>
      </c>
      <c r="Y88" s="360"/>
      <c r="Z88" s="363">
        <v>302.5</v>
      </c>
      <c r="AA88" s="360"/>
      <c r="AB88" s="359">
        <v>887.5</v>
      </c>
      <c r="AC88" s="360">
        <v>0</v>
      </c>
      <c r="AD88" s="363">
        <v>720</v>
      </c>
      <c r="AE88" s="360"/>
      <c r="AF88" s="363">
        <v>0</v>
      </c>
      <c r="AG88" s="360"/>
      <c r="AH88" s="363">
        <v>605</v>
      </c>
      <c r="AI88" s="360"/>
      <c r="AJ88" s="363">
        <v>1325</v>
      </c>
      <c r="AK88" s="361">
        <v>0</v>
      </c>
      <c r="AL88" s="363">
        <v>2212.5</v>
      </c>
      <c r="AM88" s="361">
        <v>0</v>
      </c>
      <c r="AO88" s="363">
        <v>0</v>
      </c>
      <c r="AP88" s="360"/>
      <c r="AQ88" s="363">
        <v>0</v>
      </c>
      <c r="AR88" s="360"/>
      <c r="AS88" s="363">
        <v>0</v>
      </c>
      <c r="AT88" s="360"/>
      <c r="AU88" s="363">
        <v>0</v>
      </c>
      <c r="AV88" s="361">
        <v>0</v>
      </c>
    </row>
    <row r="89" spans="2:48" x14ac:dyDescent="0.25">
      <c r="B89" s="364" t="s">
        <v>914</v>
      </c>
      <c r="C89" t="s">
        <v>915</v>
      </c>
      <c r="D89" t="s">
        <v>915</v>
      </c>
      <c r="E89" s="358">
        <v>0</v>
      </c>
      <c r="F89" s="359">
        <v>0</v>
      </c>
      <c r="G89" s="360"/>
      <c r="H89" s="361"/>
      <c r="I89" s="358">
        <v>192.85714285714286</v>
      </c>
      <c r="J89" s="359">
        <v>192.85714285714286</v>
      </c>
      <c r="K89" s="360"/>
      <c r="L89" s="361"/>
      <c r="M89" s="358">
        <v>0</v>
      </c>
      <c r="N89" s="359">
        <v>0</v>
      </c>
      <c r="O89" s="360"/>
      <c r="P89" s="361"/>
      <c r="Q89" s="358">
        <v>192.85714285714286</v>
      </c>
      <c r="R89" s="362">
        <v>192.85714285714286</v>
      </c>
      <c r="S89" s="360">
        <v>0</v>
      </c>
      <c r="T89" s="361"/>
      <c r="V89" s="363">
        <v>0</v>
      </c>
      <c r="W89" s="360"/>
      <c r="X89" s="363">
        <v>0</v>
      </c>
      <c r="Y89" s="360"/>
      <c r="Z89" s="363">
        <v>0</v>
      </c>
      <c r="AA89" s="360"/>
      <c r="AB89" s="359">
        <v>0</v>
      </c>
      <c r="AC89" s="360">
        <v>0</v>
      </c>
      <c r="AD89" s="363">
        <v>0</v>
      </c>
      <c r="AE89" s="360"/>
      <c r="AF89" s="363">
        <v>0</v>
      </c>
      <c r="AG89" s="360"/>
      <c r="AH89" s="363">
        <v>0</v>
      </c>
      <c r="AI89" s="360"/>
      <c r="AJ89" s="363">
        <v>0</v>
      </c>
      <c r="AK89" s="361">
        <v>0</v>
      </c>
      <c r="AL89" s="363">
        <v>0</v>
      </c>
      <c r="AM89" s="361">
        <v>0</v>
      </c>
      <c r="AO89" s="363">
        <v>0</v>
      </c>
      <c r="AP89" s="360"/>
      <c r="AQ89" s="363">
        <v>0</v>
      </c>
      <c r="AR89" s="360"/>
      <c r="AS89" s="363">
        <v>0</v>
      </c>
      <c r="AT89" s="360"/>
      <c r="AU89" s="363">
        <v>0</v>
      </c>
      <c r="AV89" s="361">
        <v>0</v>
      </c>
    </row>
    <row r="90" spans="2:48" x14ac:dyDescent="0.25">
      <c r="B90" s="364" t="s">
        <v>376</v>
      </c>
      <c r="C90">
        <v>205947</v>
      </c>
      <c r="D90" t="s">
        <v>916</v>
      </c>
      <c r="E90" s="358">
        <v>180</v>
      </c>
      <c r="F90" s="359">
        <v>180</v>
      </c>
      <c r="G90" s="360"/>
      <c r="H90" s="361"/>
      <c r="I90" s="358">
        <v>0</v>
      </c>
      <c r="J90" s="359">
        <v>0</v>
      </c>
      <c r="K90" s="360"/>
      <c r="L90" s="361"/>
      <c r="M90" s="358">
        <v>151.25</v>
      </c>
      <c r="N90" s="359">
        <v>151.25</v>
      </c>
      <c r="O90" s="360"/>
      <c r="P90" s="361"/>
      <c r="Q90" s="358">
        <v>331.25</v>
      </c>
      <c r="R90" s="362">
        <v>331.25</v>
      </c>
      <c r="S90" s="360">
        <v>0</v>
      </c>
      <c r="T90" s="361"/>
      <c r="V90" s="363">
        <v>0</v>
      </c>
      <c r="W90" s="360"/>
      <c r="X90" s="363">
        <v>0</v>
      </c>
      <c r="Y90" s="360"/>
      <c r="Z90" s="363">
        <v>0</v>
      </c>
      <c r="AA90" s="360"/>
      <c r="AB90" s="359">
        <v>0</v>
      </c>
      <c r="AC90" s="360">
        <v>0</v>
      </c>
      <c r="AD90" s="363">
        <v>0</v>
      </c>
      <c r="AE90" s="360"/>
      <c r="AF90" s="363">
        <v>0</v>
      </c>
      <c r="AG90" s="360"/>
      <c r="AH90" s="363">
        <v>0</v>
      </c>
      <c r="AI90" s="360"/>
      <c r="AJ90" s="363">
        <v>0</v>
      </c>
      <c r="AK90" s="361">
        <v>0</v>
      </c>
      <c r="AL90" s="363">
        <v>0</v>
      </c>
      <c r="AM90" s="361">
        <v>0</v>
      </c>
      <c r="AO90" s="363">
        <v>0</v>
      </c>
      <c r="AP90" s="360"/>
      <c r="AQ90" s="363">
        <v>0</v>
      </c>
      <c r="AR90" s="360"/>
      <c r="AS90" s="363">
        <v>0</v>
      </c>
      <c r="AT90" s="360"/>
      <c r="AU90" s="363">
        <v>0</v>
      </c>
      <c r="AV90" s="361">
        <v>0</v>
      </c>
    </row>
    <row r="91" spans="2:48" x14ac:dyDescent="0.25">
      <c r="B91" s="364" t="s">
        <v>379</v>
      </c>
      <c r="C91" t="s">
        <v>378</v>
      </c>
      <c r="D91" t="s">
        <v>917</v>
      </c>
      <c r="E91" s="358">
        <v>54</v>
      </c>
      <c r="F91" s="359">
        <v>0</v>
      </c>
      <c r="G91" s="360"/>
      <c r="H91" s="361"/>
      <c r="I91" s="358">
        <v>225</v>
      </c>
      <c r="J91" s="359">
        <v>135</v>
      </c>
      <c r="K91" s="360"/>
      <c r="L91" s="361"/>
      <c r="M91" s="358">
        <v>0</v>
      </c>
      <c r="N91" s="359">
        <v>0</v>
      </c>
      <c r="O91" s="360"/>
      <c r="P91" s="361"/>
      <c r="Q91" s="358">
        <v>279</v>
      </c>
      <c r="R91" s="362">
        <v>135</v>
      </c>
      <c r="S91" s="360">
        <v>0</v>
      </c>
      <c r="T91" s="361"/>
      <c r="V91" s="363">
        <v>0</v>
      </c>
      <c r="W91" s="360"/>
      <c r="X91" s="363">
        <v>0</v>
      </c>
      <c r="Y91" s="360"/>
      <c r="Z91" s="363">
        <v>0</v>
      </c>
      <c r="AA91" s="360"/>
      <c r="AB91" s="359">
        <v>0</v>
      </c>
      <c r="AC91" s="360">
        <v>0</v>
      </c>
      <c r="AD91" s="363">
        <v>0</v>
      </c>
      <c r="AE91" s="360"/>
      <c r="AF91" s="363">
        <v>0</v>
      </c>
      <c r="AG91" s="360"/>
      <c r="AH91" s="363">
        <v>0</v>
      </c>
      <c r="AI91" s="360"/>
      <c r="AJ91" s="363">
        <v>0</v>
      </c>
      <c r="AK91" s="361">
        <v>0</v>
      </c>
      <c r="AL91" s="363">
        <v>0</v>
      </c>
      <c r="AM91" s="361">
        <v>0</v>
      </c>
      <c r="AO91" s="363">
        <v>0</v>
      </c>
      <c r="AP91" s="360"/>
      <c r="AQ91" s="363">
        <v>0</v>
      </c>
      <c r="AR91" s="360"/>
      <c r="AS91" s="363">
        <v>0</v>
      </c>
      <c r="AT91" s="360"/>
      <c r="AU91" s="363">
        <v>0</v>
      </c>
      <c r="AV91" s="361">
        <v>0</v>
      </c>
    </row>
    <row r="92" spans="2:48" x14ac:dyDescent="0.25">
      <c r="B92" s="364" t="s">
        <v>377</v>
      </c>
      <c r="C92" t="s">
        <v>918</v>
      </c>
      <c r="D92" t="s">
        <v>918</v>
      </c>
      <c r="E92" s="358">
        <v>0</v>
      </c>
      <c r="F92" s="359">
        <v>0</v>
      </c>
      <c r="G92" s="360"/>
      <c r="H92" s="361"/>
      <c r="I92" s="358">
        <v>450</v>
      </c>
      <c r="J92" s="359">
        <v>0</v>
      </c>
      <c r="K92" s="360"/>
      <c r="L92" s="361"/>
      <c r="M92" s="358">
        <v>0</v>
      </c>
      <c r="N92" s="359">
        <v>0</v>
      </c>
      <c r="O92" s="360"/>
      <c r="P92" s="361"/>
      <c r="Q92" s="358">
        <v>450</v>
      </c>
      <c r="R92" s="362">
        <v>0</v>
      </c>
      <c r="S92" s="360">
        <v>0</v>
      </c>
      <c r="T92" s="361"/>
      <c r="V92" s="363">
        <v>0</v>
      </c>
      <c r="W92" s="360"/>
      <c r="X92" s="363">
        <v>0</v>
      </c>
      <c r="Y92" s="360"/>
      <c r="Z92" s="363">
        <v>0</v>
      </c>
      <c r="AA92" s="360"/>
      <c r="AB92" s="359">
        <v>0</v>
      </c>
      <c r="AC92" s="360">
        <v>0</v>
      </c>
      <c r="AD92" s="363">
        <v>0</v>
      </c>
      <c r="AE92" s="360"/>
      <c r="AF92" s="363">
        <v>0</v>
      </c>
      <c r="AG92" s="360"/>
      <c r="AH92" s="363">
        <v>0</v>
      </c>
      <c r="AI92" s="360"/>
      <c r="AJ92" s="363">
        <v>0</v>
      </c>
      <c r="AK92" s="361">
        <v>0</v>
      </c>
      <c r="AL92" s="363">
        <v>0</v>
      </c>
      <c r="AM92" s="361">
        <v>0</v>
      </c>
      <c r="AO92" s="363">
        <v>0</v>
      </c>
      <c r="AP92" s="360"/>
      <c r="AQ92" s="363">
        <v>0</v>
      </c>
      <c r="AR92" s="360"/>
      <c r="AS92" s="363">
        <v>0</v>
      </c>
      <c r="AT92" s="360"/>
      <c r="AU92" s="363">
        <v>0</v>
      </c>
      <c r="AV92" s="361">
        <v>0</v>
      </c>
    </row>
    <row r="93" spans="2:48" x14ac:dyDescent="0.25">
      <c r="B93" s="364" t="s">
        <v>383</v>
      </c>
      <c r="C93" t="s">
        <v>382</v>
      </c>
      <c r="D93" t="s">
        <v>919</v>
      </c>
      <c r="E93" s="358">
        <v>360</v>
      </c>
      <c r="F93" s="359">
        <v>360</v>
      </c>
      <c r="G93" s="360"/>
      <c r="H93" s="361"/>
      <c r="I93" s="358">
        <v>0</v>
      </c>
      <c r="J93" s="359">
        <v>450</v>
      </c>
      <c r="K93" s="360"/>
      <c r="L93" s="361"/>
      <c r="M93" s="358">
        <v>151.25</v>
      </c>
      <c r="N93" s="359">
        <v>151.25</v>
      </c>
      <c r="O93" s="360"/>
      <c r="P93" s="361"/>
      <c r="Q93" s="358">
        <v>511.25</v>
      </c>
      <c r="R93" s="362">
        <v>961.25</v>
      </c>
      <c r="S93" s="360">
        <v>0</v>
      </c>
      <c r="T93" s="361"/>
      <c r="V93" s="363">
        <v>0</v>
      </c>
      <c r="W93" s="360"/>
      <c r="X93" s="363">
        <v>0</v>
      </c>
      <c r="Y93" s="360"/>
      <c r="Z93" s="363">
        <v>0</v>
      </c>
      <c r="AA93" s="360"/>
      <c r="AB93" s="359">
        <v>0</v>
      </c>
      <c r="AC93" s="360">
        <v>0</v>
      </c>
      <c r="AD93" s="363">
        <v>0</v>
      </c>
      <c r="AE93" s="360"/>
      <c r="AF93" s="363">
        <v>0</v>
      </c>
      <c r="AG93" s="360"/>
      <c r="AH93" s="363">
        <v>0</v>
      </c>
      <c r="AI93" s="360"/>
      <c r="AJ93" s="363">
        <v>0</v>
      </c>
      <c r="AK93" s="361">
        <v>0</v>
      </c>
      <c r="AL93" s="363">
        <v>0</v>
      </c>
      <c r="AM93" s="361">
        <v>0</v>
      </c>
      <c r="AO93" s="363">
        <v>0</v>
      </c>
      <c r="AP93" s="360"/>
      <c r="AQ93" s="363">
        <v>0</v>
      </c>
      <c r="AR93" s="360"/>
      <c r="AS93" s="363">
        <v>0</v>
      </c>
      <c r="AT93" s="360"/>
      <c r="AU93" s="363">
        <v>0</v>
      </c>
      <c r="AV93" s="361">
        <v>0</v>
      </c>
    </row>
    <row r="94" spans="2:48" x14ac:dyDescent="0.25">
      <c r="B94" s="364" t="s">
        <v>386</v>
      </c>
      <c r="C94" t="s">
        <v>385</v>
      </c>
      <c r="D94" t="s">
        <v>920</v>
      </c>
      <c r="E94" s="358">
        <v>1154.25</v>
      </c>
      <c r="F94" s="359">
        <v>630</v>
      </c>
      <c r="G94" s="360"/>
      <c r="H94" s="361"/>
      <c r="I94" s="358">
        <v>675</v>
      </c>
      <c r="J94" s="359">
        <v>225</v>
      </c>
      <c r="K94" s="360"/>
      <c r="L94" s="361"/>
      <c r="M94" s="358">
        <v>453.75</v>
      </c>
      <c r="N94" s="359">
        <v>605</v>
      </c>
      <c r="O94" s="360"/>
      <c r="P94" s="361"/>
      <c r="Q94" s="358">
        <v>2283</v>
      </c>
      <c r="R94" s="362">
        <v>1460</v>
      </c>
      <c r="S94" s="360">
        <v>0</v>
      </c>
      <c r="T94" s="361"/>
      <c r="V94" s="363">
        <v>630</v>
      </c>
      <c r="W94" s="360"/>
      <c r="X94" s="363">
        <v>0</v>
      </c>
      <c r="Y94" s="360"/>
      <c r="Z94" s="363">
        <v>605</v>
      </c>
      <c r="AA94" s="360"/>
      <c r="AB94" s="359">
        <v>1235</v>
      </c>
      <c r="AC94" s="360">
        <v>0</v>
      </c>
      <c r="AD94" s="363">
        <v>180</v>
      </c>
      <c r="AE94" s="360"/>
      <c r="AF94" s="363">
        <v>450</v>
      </c>
      <c r="AG94" s="360"/>
      <c r="AH94" s="363">
        <v>151.25</v>
      </c>
      <c r="AI94" s="360"/>
      <c r="AJ94" s="363">
        <v>781.25</v>
      </c>
      <c r="AK94" s="361">
        <v>0</v>
      </c>
      <c r="AL94" s="363">
        <v>2016.25</v>
      </c>
      <c r="AM94" s="361">
        <v>0</v>
      </c>
      <c r="AO94" s="363">
        <v>0</v>
      </c>
      <c r="AP94" s="360"/>
      <c r="AQ94" s="363">
        <v>0</v>
      </c>
      <c r="AR94" s="360"/>
      <c r="AS94" s="363">
        <v>0</v>
      </c>
      <c r="AT94" s="360"/>
      <c r="AU94" s="363">
        <v>0</v>
      </c>
      <c r="AV94" s="361">
        <v>0</v>
      </c>
    </row>
    <row r="95" spans="2:48" x14ac:dyDescent="0.25">
      <c r="B95" s="364" t="s">
        <v>388</v>
      </c>
      <c r="C95" t="s">
        <v>387</v>
      </c>
      <c r="D95" t="s">
        <v>921</v>
      </c>
      <c r="E95" s="358">
        <v>180</v>
      </c>
      <c r="F95" s="359">
        <v>180</v>
      </c>
      <c r="G95" s="360"/>
      <c r="H95" s="361"/>
      <c r="I95" s="358">
        <v>0</v>
      </c>
      <c r="J95" s="359">
        <v>0</v>
      </c>
      <c r="K95" s="360"/>
      <c r="L95" s="361"/>
      <c r="M95" s="358">
        <v>151.25</v>
      </c>
      <c r="N95" s="359">
        <v>151.25</v>
      </c>
      <c r="O95" s="360"/>
      <c r="P95" s="361"/>
      <c r="Q95" s="358">
        <v>331.25</v>
      </c>
      <c r="R95" s="362">
        <v>331.25</v>
      </c>
      <c r="S95" s="360">
        <v>0</v>
      </c>
      <c r="T95" s="361"/>
      <c r="V95" s="363">
        <v>0</v>
      </c>
      <c r="W95" s="360"/>
      <c r="X95" s="363">
        <v>0</v>
      </c>
      <c r="Y95" s="360"/>
      <c r="Z95" s="363">
        <v>0</v>
      </c>
      <c r="AA95" s="360"/>
      <c r="AB95" s="359">
        <v>0</v>
      </c>
      <c r="AC95" s="360">
        <v>0</v>
      </c>
      <c r="AD95" s="363">
        <v>0</v>
      </c>
      <c r="AE95" s="360"/>
      <c r="AF95" s="363">
        <v>0</v>
      </c>
      <c r="AG95" s="360"/>
      <c r="AH95" s="363">
        <v>0</v>
      </c>
      <c r="AI95" s="360"/>
      <c r="AJ95" s="363">
        <v>0</v>
      </c>
      <c r="AK95" s="361">
        <v>0</v>
      </c>
      <c r="AL95" s="363">
        <v>0</v>
      </c>
      <c r="AM95" s="361">
        <v>0</v>
      </c>
      <c r="AO95" s="363">
        <v>0</v>
      </c>
      <c r="AP95" s="360"/>
      <c r="AQ95" s="363">
        <v>0</v>
      </c>
      <c r="AR95" s="360"/>
      <c r="AS95" s="363">
        <v>0</v>
      </c>
      <c r="AT95" s="360"/>
      <c r="AU95" s="363">
        <v>0</v>
      </c>
      <c r="AV95" s="361">
        <v>0</v>
      </c>
    </row>
    <row r="96" spans="2:48" x14ac:dyDescent="0.25">
      <c r="B96" s="364" t="s">
        <v>390</v>
      </c>
      <c r="C96" t="s">
        <v>389</v>
      </c>
      <c r="D96" t="s">
        <v>922</v>
      </c>
      <c r="E96" s="358">
        <v>360</v>
      </c>
      <c r="F96" s="359">
        <v>360</v>
      </c>
      <c r="G96" s="360"/>
      <c r="H96" s="361"/>
      <c r="I96" s="358">
        <v>450</v>
      </c>
      <c r="J96" s="359">
        <v>450</v>
      </c>
      <c r="K96" s="360"/>
      <c r="L96" s="361"/>
      <c r="M96" s="358">
        <v>151.25</v>
      </c>
      <c r="N96" s="359">
        <v>151.25</v>
      </c>
      <c r="O96" s="360"/>
      <c r="P96" s="361"/>
      <c r="Q96" s="358">
        <v>961.25</v>
      </c>
      <c r="R96" s="362">
        <v>961.25</v>
      </c>
      <c r="S96" s="360">
        <v>0</v>
      </c>
      <c r="T96" s="361"/>
      <c r="V96" s="363">
        <v>0</v>
      </c>
      <c r="W96" s="360"/>
      <c r="X96" s="363">
        <v>0</v>
      </c>
      <c r="Y96" s="360"/>
      <c r="Z96" s="363">
        <v>0</v>
      </c>
      <c r="AA96" s="360"/>
      <c r="AB96" s="359">
        <v>0</v>
      </c>
      <c r="AC96" s="360">
        <v>0</v>
      </c>
      <c r="AD96" s="363">
        <v>0</v>
      </c>
      <c r="AE96" s="360"/>
      <c r="AF96" s="363">
        <v>225</v>
      </c>
      <c r="AG96" s="360"/>
      <c r="AH96" s="363">
        <v>0</v>
      </c>
      <c r="AI96" s="360"/>
      <c r="AJ96" s="363">
        <v>225</v>
      </c>
      <c r="AK96" s="361">
        <v>0</v>
      </c>
      <c r="AL96" s="363">
        <v>225</v>
      </c>
      <c r="AM96" s="361">
        <v>0</v>
      </c>
      <c r="AO96" s="363">
        <v>0</v>
      </c>
      <c r="AP96" s="360"/>
      <c r="AQ96" s="363">
        <v>0</v>
      </c>
      <c r="AR96" s="360"/>
      <c r="AS96" s="363">
        <v>0</v>
      </c>
      <c r="AT96" s="360"/>
      <c r="AU96" s="363">
        <v>0</v>
      </c>
      <c r="AV96" s="361">
        <v>0</v>
      </c>
    </row>
    <row r="97" spans="2:48" x14ac:dyDescent="0.25">
      <c r="B97" s="364" t="s">
        <v>758</v>
      </c>
      <c r="C97" t="s">
        <v>923</v>
      </c>
      <c r="D97" t="s">
        <v>923</v>
      </c>
      <c r="E97" s="358">
        <v>0</v>
      </c>
      <c r="F97" s="359">
        <v>0</v>
      </c>
      <c r="G97" s="360"/>
      <c r="H97" s="361"/>
      <c r="I97" s="358">
        <v>225</v>
      </c>
      <c r="J97" s="359">
        <v>0</v>
      </c>
      <c r="K97" s="360"/>
      <c r="L97" s="361"/>
      <c r="M97" s="358">
        <v>0</v>
      </c>
      <c r="N97" s="359">
        <v>0</v>
      </c>
      <c r="O97" s="360"/>
      <c r="P97" s="361"/>
      <c r="Q97" s="358">
        <v>225</v>
      </c>
      <c r="R97" s="362">
        <v>0</v>
      </c>
      <c r="S97" s="360">
        <v>0</v>
      </c>
      <c r="T97" s="361"/>
      <c r="V97" s="363">
        <v>0</v>
      </c>
      <c r="W97" s="360"/>
      <c r="X97" s="363">
        <v>0</v>
      </c>
      <c r="Y97" s="360"/>
      <c r="Z97" s="363">
        <v>0</v>
      </c>
      <c r="AA97" s="360"/>
      <c r="AB97" s="359">
        <v>0</v>
      </c>
      <c r="AC97" s="360">
        <v>0</v>
      </c>
      <c r="AD97" s="363">
        <v>0</v>
      </c>
      <c r="AE97" s="360"/>
      <c r="AF97" s="363">
        <v>0</v>
      </c>
      <c r="AG97" s="360"/>
      <c r="AH97" s="363">
        <v>0</v>
      </c>
      <c r="AI97" s="360"/>
      <c r="AJ97" s="363">
        <v>0</v>
      </c>
      <c r="AK97" s="361">
        <v>0</v>
      </c>
      <c r="AL97" s="363">
        <v>0</v>
      </c>
      <c r="AM97" s="361">
        <v>0</v>
      </c>
      <c r="AO97" s="363">
        <v>0</v>
      </c>
      <c r="AP97" s="360"/>
      <c r="AQ97" s="363">
        <v>210</v>
      </c>
      <c r="AR97" s="360"/>
      <c r="AS97" s="363">
        <v>0</v>
      </c>
      <c r="AT97" s="360"/>
      <c r="AU97" s="363">
        <v>210</v>
      </c>
      <c r="AV97" s="361">
        <v>0</v>
      </c>
    </row>
    <row r="98" spans="2:48" x14ac:dyDescent="0.25">
      <c r="B98" s="364" t="s">
        <v>757</v>
      </c>
      <c r="C98" t="s">
        <v>924</v>
      </c>
      <c r="D98" t="s">
        <v>924</v>
      </c>
      <c r="E98" s="358">
        <v>0</v>
      </c>
      <c r="F98" s="359">
        <v>0</v>
      </c>
      <c r="G98" s="360"/>
      <c r="H98" s="361"/>
      <c r="I98" s="358">
        <v>225</v>
      </c>
      <c r="J98" s="359">
        <v>225</v>
      </c>
      <c r="K98" s="360"/>
      <c r="L98" s="361"/>
      <c r="M98" s="358">
        <v>0</v>
      </c>
      <c r="N98" s="359">
        <v>0</v>
      </c>
      <c r="O98" s="360"/>
      <c r="P98" s="361"/>
      <c r="Q98" s="358">
        <v>225</v>
      </c>
      <c r="R98" s="362">
        <v>225</v>
      </c>
      <c r="S98" s="360">
        <v>0</v>
      </c>
      <c r="T98" s="361"/>
      <c r="V98" s="363">
        <v>0</v>
      </c>
      <c r="W98" s="360"/>
      <c r="X98" s="363">
        <v>0</v>
      </c>
      <c r="Y98" s="360"/>
      <c r="Z98" s="363">
        <v>0</v>
      </c>
      <c r="AA98" s="360"/>
      <c r="AB98" s="359">
        <v>0</v>
      </c>
      <c r="AC98" s="360">
        <v>0</v>
      </c>
      <c r="AD98" s="363">
        <v>0</v>
      </c>
      <c r="AE98" s="360"/>
      <c r="AF98" s="363">
        <v>0</v>
      </c>
      <c r="AG98" s="360"/>
      <c r="AH98" s="363">
        <v>0</v>
      </c>
      <c r="AI98" s="360"/>
      <c r="AJ98" s="363">
        <v>0</v>
      </c>
      <c r="AK98" s="361">
        <v>0</v>
      </c>
      <c r="AL98" s="363">
        <v>0</v>
      </c>
      <c r="AM98" s="361">
        <v>0</v>
      </c>
      <c r="AO98" s="363">
        <v>0</v>
      </c>
      <c r="AP98" s="360"/>
      <c r="AQ98" s="363">
        <v>210</v>
      </c>
      <c r="AR98" s="360"/>
      <c r="AS98" s="363">
        <v>0</v>
      </c>
      <c r="AT98" s="360"/>
      <c r="AU98" s="363">
        <v>210</v>
      </c>
      <c r="AV98" s="361">
        <v>0</v>
      </c>
    </row>
    <row r="99" spans="2:48" x14ac:dyDescent="0.25">
      <c r="B99" s="364" t="s">
        <v>393</v>
      </c>
      <c r="C99">
        <v>639307</v>
      </c>
      <c r="D99" t="s">
        <v>925</v>
      </c>
      <c r="E99" s="358">
        <v>180</v>
      </c>
      <c r="F99" s="359">
        <v>126</v>
      </c>
      <c r="G99" s="360"/>
      <c r="H99" s="361"/>
      <c r="I99" s="358">
        <v>0</v>
      </c>
      <c r="J99" s="359">
        <v>0</v>
      </c>
      <c r="K99" s="360"/>
      <c r="L99" s="361"/>
      <c r="M99" s="358">
        <v>151.25</v>
      </c>
      <c r="N99" s="359">
        <v>105.875</v>
      </c>
      <c r="O99" s="360"/>
      <c r="P99" s="361"/>
      <c r="Q99" s="358">
        <v>331.25</v>
      </c>
      <c r="R99" s="362">
        <v>231.875</v>
      </c>
      <c r="S99" s="360">
        <v>0</v>
      </c>
      <c r="T99" s="361"/>
      <c r="V99" s="363">
        <v>0</v>
      </c>
      <c r="W99" s="360"/>
      <c r="X99" s="363">
        <v>0</v>
      </c>
      <c r="Y99" s="360"/>
      <c r="Z99" s="363">
        <v>0</v>
      </c>
      <c r="AA99" s="360"/>
      <c r="AB99" s="359">
        <v>0</v>
      </c>
      <c r="AC99" s="360">
        <v>0</v>
      </c>
      <c r="AD99" s="363">
        <v>0</v>
      </c>
      <c r="AE99" s="360"/>
      <c r="AF99" s="363">
        <v>0</v>
      </c>
      <c r="AG99" s="360"/>
      <c r="AH99" s="363">
        <v>0</v>
      </c>
      <c r="AI99" s="360"/>
      <c r="AJ99" s="363">
        <v>0</v>
      </c>
      <c r="AK99" s="361">
        <v>0</v>
      </c>
      <c r="AL99" s="363">
        <v>0</v>
      </c>
      <c r="AM99" s="361">
        <v>0</v>
      </c>
      <c r="AO99" s="363">
        <v>0</v>
      </c>
      <c r="AP99" s="360"/>
      <c r="AQ99" s="363">
        <v>0</v>
      </c>
      <c r="AR99" s="360"/>
      <c r="AS99" s="363">
        <v>0</v>
      </c>
      <c r="AT99" s="360"/>
      <c r="AU99" s="363">
        <v>0</v>
      </c>
      <c r="AV99" s="361">
        <v>0</v>
      </c>
    </row>
    <row r="100" spans="2:48" x14ac:dyDescent="0.25">
      <c r="B100" s="364" t="s">
        <v>394</v>
      </c>
      <c r="C100" t="s">
        <v>926</v>
      </c>
      <c r="D100" t="s">
        <v>926</v>
      </c>
      <c r="E100" s="358">
        <v>0</v>
      </c>
      <c r="F100" s="359">
        <v>0</v>
      </c>
      <c r="G100" s="360"/>
      <c r="H100" s="361"/>
      <c r="I100" s="358">
        <v>0</v>
      </c>
      <c r="J100" s="359">
        <v>0</v>
      </c>
      <c r="K100" s="360"/>
      <c r="L100" s="361"/>
      <c r="M100" s="358">
        <v>0</v>
      </c>
      <c r="N100" s="359">
        <v>132</v>
      </c>
      <c r="O100" s="360"/>
      <c r="P100" s="361"/>
      <c r="Q100" s="358">
        <v>0</v>
      </c>
      <c r="R100" s="362">
        <v>132</v>
      </c>
      <c r="S100" s="360">
        <v>0</v>
      </c>
      <c r="T100" s="361"/>
      <c r="V100" s="363">
        <v>0</v>
      </c>
      <c r="W100" s="360"/>
      <c r="X100" s="363">
        <v>0</v>
      </c>
      <c r="Y100" s="360"/>
      <c r="Z100" s="363">
        <v>0</v>
      </c>
      <c r="AA100" s="360"/>
      <c r="AB100" s="359">
        <v>0</v>
      </c>
      <c r="AC100" s="360">
        <v>0</v>
      </c>
      <c r="AD100" s="363">
        <v>0</v>
      </c>
      <c r="AE100" s="360"/>
      <c r="AF100" s="363">
        <v>0</v>
      </c>
      <c r="AG100" s="360"/>
      <c r="AH100" s="363">
        <v>0</v>
      </c>
      <c r="AI100" s="360"/>
      <c r="AJ100" s="363">
        <v>0</v>
      </c>
      <c r="AK100" s="361">
        <v>0</v>
      </c>
      <c r="AL100" s="363">
        <v>0</v>
      </c>
      <c r="AM100" s="361">
        <v>0</v>
      </c>
      <c r="AO100" s="363">
        <v>0</v>
      </c>
      <c r="AP100" s="360"/>
      <c r="AQ100" s="363">
        <v>0</v>
      </c>
      <c r="AR100" s="360"/>
      <c r="AS100" s="363">
        <v>0</v>
      </c>
      <c r="AT100" s="360"/>
      <c r="AU100" s="363">
        <v>0</v>
      </c>
      <c r="AV100" s="361">
        <v>0</v>
      </c>
    </row>
    <row r="101" spans="2:48" x14ac:dyDescent="0.25">
      <c r="B101" s="364" t="s">
        <v>395</v>
      </c>
      <c r="C101" t="s">
        <v>927</v>
      </c>
      <c r="D101" t="s">
        <v>927</v>
      </c>
      <c r="E101" s="358">
        <v>1278</v>
      </c>
      <c r="F101" s="359">
        <v>1098</v>
      </c>
      <c r="G101" s="360"/>
      <c r="H101" s="361"/>
      <c r="I101" s="358">
        <v>543.21428571428578</v>
      </c>
      <c r="J101" s="359">
        <v>205.71428571428569</v>
      </c>
      <c r="K101" s="360"/>
      <c r="L101" s="361"/>
      <c r="M101" s="358">
        <v>663</v>
      </c>
      <c r="N101" s="359">
        <v>663</v>
      </c>
      <c r="O101" s="360"/>
      <c r="P101" s="361"/>
      <c r="Q101" s="358">
        <v>2484.2142857142858</v>
      </c>
      <c r="R101" s="362">
        <v>1966.7142857142858</v>
      </c>
      <c r="S101" s="360">
        <v>0</v>
      </c>
      <c r="T101" s="361"/>
      <c r="V101" s="363">
        <v>1296</v>
      </c>
      <c r="W101" s="360"/>
      <c r="X101" s="363">
        <v>210</v>
      </c>
      <c r="Y101" s="360"/>
      <c r="Z101" s="363">
        <v>996</v>
      </c>
      <c r="AA101" s="360"/>
      <c r="AB101" s="359">
        <v>2502</v>
      </c>
      <c r="AC101" s="360">
        <v>0</v>
      </c>
      <c r="AD101" s="363">
        <v>1080</v>
      </c>
      <c r="AE101" s="360"/>
      <c r="AF101" s="363">
        <v>297</v>
      </c>
      <c r="AG101" s="360"/>
      <c r="AH101" s="363">
        <v>330</v>
      </c>
      <c r="AI101" s="360"/>
      <c r="AJ101" s="363">
        <v>1707</v>
      </c>
      <c r="AK101" s="361">
        <v>0</v>
      </c>
      <c r="AL101" s="363">
        <v>4209</v>
      </c>
      <c r="AM101" s="361">
        <v>0</v>
      </c>
      <c r="AO101" s="363">
        <v>0</v>
      </c>
      <c r="AP101" s="360"/>
      <c r="AQ101" s="363">
        <v>0</v>
      </c>
      <c r="AR101" s="360"/>
      <c r="AS101" s="363">
        <v>0</v>
      </c>
      <c r="AT101" s="360"/>
      <c r="AU101" s="363">
        <v>0</v>
      </c>
      <c r="AV101" s="361">
        <v>0</v>
      </c>
    </row>
    <row r="102" spans="2:48" x14ac:dyDescent="0.25">
      <c r="B102" s="364" t="s">
        <v>396</v>
      </c>
      <c r="C102">
        <v>2559906</v>
      </c>
      <c r="D102" t="s">
        <v>928</v>
      </c>
      <c r="E102" s="358">
        <v>180</v>
      </c>
      <c r="F102" s="359">
        <v>0</v>
      </c>
      <c r="G102" s="360"/>
      <c r="H102" s="361"/>
      <c r="I102" s="358">
        <v>225</v>
      </c>
      <c r="J102" s="359">
        <v>0</v>
      </c>
      <c r="K102" s="360"/>
      <c r="L102" s="361"/>
      <c r="M102" s="358">
        <v>151.25</v>
      </c>
      <c r="N102" s="359">
        <v>151.25</v>
      </c>
      <c r="O102" s="360"/>
      <c r="P102" s="361"/>
      <c r="Q102" s="358">
        <v>556.25</v>
      </c>
      <c r="R102" s="362">
        <v>151.25</v>
      </c>
      <c r="S102" s="360">
        <v>0</v>
      </c>
      <c r="T102" s="361"/>
      <c r="V102" s="363">
        <v>0</v>
      </c>
      <c r="W102" s="360"/>
      <c r="X102" s="363">
        <v>0</v>
      </c>
      <c r="Y102" s="360"/>
      <c r="Z102" s="363">
        <v>0</v>
      </c>
      <c r="AA102" s="360"/>
      <c r="AB102" s="359">
        <v>0</v>
      </c>
      <c r="AC102" s="360">
        <v>0</v>
      </c>
      <c r="AD102" s="363">
        <v>180</v>
      </c>
      <c r="AE102" s="360"/>
      <c r="AF102" s="363">
        <v>225</v>
      </c>
      <c r="AG102" s="360"/>
      <c r="AH102" s="363">
        <v>302.5</v>
      </c>
      <c r="AI102" s="360"/>
      <c r="AJ102" s="363">
        <v>707.5</v>
      </c>
      <c r="AK102" s="361">
        <v>0</v>
      </c>
      <c r="AL102" s="363">
        <v>707.5</v>
      </c>
      <c r="AM102" s="361">
        <v>0</v>
      </c>
      <c r="AO102" s="363">
        <v>0</v>
      </c>
      <c r="AP102" s="360"/>
      <c r="AQ102" s="363">
        <v>0</v>
      </c>
      <c r="AR102" s="360"/>
      <c r="AS102" s="363">
        <v>0</v>
      </c>
      <c r="AT102" s="360"/>
      <c r="AU102" s="363">
        <v>0</v>
      </c>
      <c r="AV102" s="361">
        <v>0</v>
      </c>
    </row>
    <row r="103" spans="2:48" x14ac:dyDescent="0.25">
      <c r="B103" s="364" t="s">
        <v>929</v>
      </c>
      <c r="C103" t="s">
        <v>930</v>
      </c>
      <c r="D103" t="s">
        <v>930</v>
      </c>
      <c r="E103" s="358">
        <v>36</v>
      </c>
      <c r="F103" s="359">
        <v>180</v>
      </c>
      <c r="G103" s="360"/>
      <c r="H103" s="361"/>
      <c r="I103" s="358">
        <v>45</v>
      </c>
      <c r="J103" s="359">
        <v>285</v>
      </c>
      <c r="K103" s="360"/>
      <c r="L103" s="361"/>
      <c r="M103" s="358">
        <v>0</v>
      </c>
      <c r="N103" s="359">
        <v>0</v>
      </c>
      <c r="O103" s="360"/>
      <c r="P103" s="361"/>
      <c r="Q103" s="358">
        <v>81</v>
      </c>
      <c r="R103" s="362">
        <v>465</v>
      </c>
      <c r="S103" s="360">
        <v>0</v>
      </c>
      <c r="T103" s="361"/>
      <c r="V103" s="363">
        <v>0</v>
      </c>
      <c r="W103" s="360"/>
      <c r="X103" s="363">
        <v>0</v>
      </c>
      <c r="Y103" s="360"/>
      <c r="Z103" s="363">
        <v>0</v>
      </c>
      <c r="AA103" s="360"/>
      <c r="AB103" s="359">
        <v>0</v>
      </c>
      <c r="AC103" s="360">
        <v>0</v>
      </c>
      <c r="AD103" s="363">
        <v>0</v>
      </c>
      <c r="AE103" s="360"/>
      <c r="AF103" s="363">
        <v>0</v>
      </c>
      <c r="AG103" s="360"/>
      <c r="AH103" s="363">
        <v>0</v>
      </c>
      <c r="AI103" s="360"/>
      <c r="AJ103" s="363">
        <v>0</v>
      </c>
      <c r="AK103" s="361">
        <v>0</v>
      </c>
      <c r="AL103" s="363">
        <v>0</v>
      </c>
      <c r="AM103" s="361">
        <v>0</v>
      </c>
      <c r="AO103" s="363">
        <v>0</v>
      </c>
      <c r="AP103" s="360"/>
      <c r="AQ103" s="363">
        <v>0</v>
      </c>
      <c r="AR103" s="360"/>
      <c r="AS103" s="363">
        <v>0</v>
      </c>
      <c r="AT103" s="360"/>
      <c r="AU103" s="363">
        <v>0</v>
      </c>
      <c r="AV103" s="361">
        <v>0</v>
      </c>
    </row>
    <row r="104" spans="2:48" x14ac:dyDescent="0.25">
      <c r="B104" s="364" t="s">
        <v>401</v>
      </c>
      <c r="C104" t="s">
        <v>400</v>
      </c>
      <c r="D104" t="s">
        <v>931</v>
      </c>
      <c r="E104" s="358">
        <v>360</v>
      </c>
      <c r="F104" s="359">
        <v>216</v>
      </c>
      <c r="G104" s="360"/>
      <c r="H104" s="361"/>
      <c r="I104" s="358">
        <v>450</v>
      </c>
      <c r="J104" s="359">
        <v>270</v>
      </c>
      <c r="K104" s="360"/>
      <c r="L104" s="361"/>
      <c r="M104" s="358">
        <v>0</v>
      </c>
      <c r="N104" s="359">
        <v>0</v>
      </c>
      <c r="O104" s="360"/>
      <c r="P104" s="361"/>
      <c r="Q104" s="358">
        <v>810</v>
      </c>
      <c r="R104" s="362">
        <v>486</v>
      </c>
      <c r="S104" s="360">
        <v>0</v>
      </c>
      <c r="T104" s="361"/>
      <c r="V104" s="363">
        <v>0</v>
      </c>
      <c r="W104" s="360"/>
      <c r="X104" s="363">
        <v>0</v>
      </c>
      <c r="Y104" s="360"/>
      <c r="Z104" s="363">
        <v>0</v>
      </c>
      <c r="AA104" s="360"/>
      <c r="AB104" s="359">
        <v>0</v>
      </c>
      <c r="AC104" s="360">
        <v>0</v>
      </c>
      <c r="AD104" s="363">
        <v>0</v>
      </c>
      <c r="AE104" s="360"/>
      <c r="AF104" s="363">
        <v>0</v>
      </c>
      <c r="AG104" s="360"/>
      <c r="AH104" s="363">
        <v>0</v>
      </c>
      <c r="AI104" s="360"/>
      <c r="AJ104" s="363">
        <v>0</v>
      </c>
      <c r="AK104" s="361">
        <v>0</v>
      </c>
      <c r="AL104" s="363">
        <v>0</v>
      </c>
      <c r="AM104" s="361">
        <v>0</v>
      </c>
      <c r="AO104" s="363">
        <v>0</v>
      </c>
      <c r="AP104" s="360"/>
      <c r="AQ104" s="363">
        <v>0</v>
      </c>
      <c r="AR104" s="360"/>
      <c r="AS104" s="363">
        <v>0</v>
      </c>
      <c r="AT104" s="360"/>
      <c r="AU104" s="363">
        <v>0</v>
      </c>
      <c r="AV104" s="361">
        <v>0</v>
      </c>
    </row>
    <row r="105" spans="2:48" x14ac:dyDescent="0.25">
      <c r="B105" s="364" t="s">
        <v>403</v>
      </c>
      <c r="C105" t="s">
        <v>402</v>
      </c>
      <c r="D105" t="s">
        <v>932</v>
      </c>
      <c r="E105" s="358">
        <v>180</v>
      </c>
      <c r="F105" s="359">
        <v>180</v>
      </c>
      <c r="G105" s="360"/>
      <c r="H105" s="361"/>
      <c r="I105" s="358">
        <v>0</v>
      </c>
      <c r="J105" s="359">
        <v>0</v>
      </c>
      <c r="K105" s="360"/>
      <c r="L105" s="361"/>
      <c r="M105" s="358">
        <v>151.25</v>
      </c>
      <c r="N105" s="359">
        <v>151.25</v>
      </c>
      <c r="O105" s="360"/>
      <c r="P105" s="361"/>
      <c r="Q105" s="358">
        <v>331.25</v>
      </c>
      <c r="R105" s="362">
        <v>331.25</v>
      </c>
      <c r="S105" s="360">
        <v>0</v>
      </c>
      <c r="T105" s="361"/>
      <c r="V105" s="363">
        <v>0</v>
      </c>
      <c r="W105" s="360"/>
      <c r="X105" s="363">
        <v>0</v>
      </c>
      <c r="Y105" s="360"/>
      <c r="Z105" s="363">
        <v>0</v>
      </c>
      <c r="AA105" s="360"/>
      <c r="AB105" s="359">
        <v>0</v>
      </c>
      <c r="AC105" s="360">
        <v>0</v>
      </c>
      <c r="AD105" s="363">
        <v>0</v>
      </c>
      <c r="AE105" s="360"/>
      <c r="AF105" s="363">
        <v>0</v>
      </c>
      <c r="AG105" s="360"/>
      <c r="AH105" s="363">
        <v>0</v>
      </c>
      <c r="AI105" s="360"/>
      <c r="AJ105" s="363">
        <v>0</v>
      </c>
      <c r="AK105" s="361">
        <v>0</v>
      </c>
      <c r="AL105" s="363">
        <v>0</v>
      </c>
      <c r="AM105" s="361">
        <v>0</v>
      </c>
      <c r="AO105" s="363">
        <v>360</v>
      </c>
      <c r="AP105" s="360"/>
      <c r="AQ105" s="363">
        <v>0</v>
      </c>
      <c r="AR105" s="360"/>
      <c r="AS105" s="363">
        <v>302.5</v>
      </c>
      <c r="AT105" s="360"/>
      <c r="AU105" s="363">
        <v>662.5</v>
      </c>
      <c r="AV105" s="361">
        <v>0</v>
      </c>
    </row>
    <row r="106" spans="2:48" x14ac:dyDescent="0.25">
      <c r="B106" s="364" t="s">
        <v>404</v>
      </c>
      <c r="C106">
        <v>205881</v>
      </c>
      <c r="D106" t="s">
        <v>933</v>
      </c>
      <c r="E106" s="358">
        <v>120</v>
      </c>
      <c r="F106" s="359">
        <v>0</v>
      </c>
      <c r="G106" s="360"/>
      <c r="H106" s="361"/>
      <c r="I106" s="358">
        <v>450</v>
      </c>
      <c r="J106" s="359">
        <v>300</v>
      </c>
      <c r="K106" s="360"/>
      <c r="L106" s="361"/>
      <c r="M106" s="358">
        <v>100.83333333333333</v>
      </c>
      <c r="N106" s="359">
        <v>0</v>
      </c>
      <c r="O106" s="360"/>
      <c r="P106" s="361"/>
      <c r="Q106" s="358">
        <v>670.83333333333337</v>
      </c>
      <c r="R106" s="362">
        <v>300</v>
      </c>
      <c r="S106" s="360">
        <v>0</v>
      </c>
      <c r="T106" s="361"/>
      <c r="V106" s="363">
        <v>0</v>
      </c>
      <c r="W106" s="360"/>
      <c r="X106" s="363">
        <v>0</v>
      </c>
      <c r="Y106" s="360"/>
      <c r="Z106" s="363">
        <v>0</v>
      </c>
      <c r="AA106" s="360"/>
      <c r="AB106" s="359">
        <v>0</v>
      </c>
      <c r="AC106" s="360">
        <v>0</v>
      </c>
      <c r="AD106" s="363">
        <v>0</v>
      </c>
      <c r="AE106" s="360"/>
      <c r="AF106" s="363">
        <v>0</v>
      </c>
      <c r="AG106" s="360"/>
      <c r="AH106" s="363">
        <v>0</v>
      </c>
      <c r="AI106" s="360"/>
      <c r="AJ106" s="363">
        <v>0</v>
      </c>
      <c r="AK106" s="361">
        <v>0</v>
      </c>
      <c r="AL106" s="363">
        <v>0</v>
      </c>
      <c r="AM106" s="361">
        <v>0</v>
      </c>
      <c r="AO106" s="363">
        <v>0</v>
      </c>
      <c r="AP106" s="360"/>
      <c r="AQ106" s="363">
        <v>0</v>
      </c>
      <c r="AR106" s="360"/>
      <c r="AS106" s="363">
        <v>0</v>
      </c>
      <c r="AT106" s="360"/>
      <c r="AU106" s="363">
        <v>0</v>
      </c>
      <c r="AV106" s="361">
        <v>0</v>
      </c>
    </row>
    <row r="107" spans="2:48" x14ac:dyDescent="0.25">
      <c r="B107" s="364" t="s">
        <v>406</v>
      </c>
      <c r="C107" t="s">
        <v>405</v>
      </c>
      <c r="D107" t="s">
        <v>934</v>
      </c>
      <c r="E107" s="358">
        <v>180</v>
      </c>
      <c r="F107" s="359">
        <v>360</v>
      </c>
      <c r="G107" s="360"/>
      <c r="H107" s="361"/>
      <c r="I107" s="358">
        <v>225</v>
      </c>
      <c r="J107" s="359">
        <v>255</v>
      </c>
      <c r="K107" s="360"/>
      <c r="L107" s="361"/>
      <c r="M107" s="358">
        <v>151.25</v>
      </c>
      <c r="N107" s="359">
        <v>302.5</v>
      </c>
      <c r="O107" s="360"/>
      <c r="P107" s="361"/>
      <c r="Q107" s="358">
        <v>556.25</v>
      </c>
      <c r="R107" s="362">
        <v>917.5</v>
      </c>
      <c r="S107" s="360">
        <v>0</v>
      </c>
      <c r="T107" s="361"/>
      <c r="V107" s="363">
        <v>180</v>
      </c>
      <c r="W107" s="360"/>
      <c r="X107" s="363">
        <v>0</v>
      </c>
      <c r="Y107" s="360"/>
      <c r="Z107" s="363">
        <v>151.25</v>
      </c>
      <c r="AA107" s="360"/>
      <c r="AB107" s="359">
        <v>331.25</v>
      </c>
      <c r="AC107" s="360">
        <v>0</v>
      </c>
      <c r="AD107" s="363">
        <v>360</v>
      </c>
      <c r="AE107" s="360"/>
      <c r="AF107" s="363">
        <v>225</v>
      </c>
      <c r="AG107" s="360"/>
      <c r="AH107" s="363">
        <v>302.5</v>
      </c>
      <c r="AI107" s="360"/>
      <c r="AJ107" s="363">
        <v>887.5</v>
      </c>
      <c r="AK107" s="361">
        <v>0</v>
      </c>
      <c r="AL107" s="363">
        <v>1218.75</v>
      </c>
      <c r="AM107" s="361">
        <v>0</v>
      </c>
      <c r="AO107" s="363">
        <v>0</v>
      </c>
      <c r="AP107" s="360"/>
      <c r="AQ107" s="363">
        <v>0</v>
      </c>
      <c r="AR107" s="360"/>
      <c r="AS107" s="363">
        <v>0</v>
      </c>
      <c r="AT107" s="360"/>
      <c r="AU107" s="363">
        <v>0</v>
      </c>
      <c r="AV107" s="361">
        <v>0</v>
      </c>
    </row>
    <row r="108" spans="2:48" x14ac:dyDescent="0.25">
      <c r="B108" s="364" t="s">
        <v>408</v>
      </c>
      <c r="C108" t="s">
        <v>407</v>
      </c>
      <c r="D108" t="s">
        <v>935</v>
      </c>
      <c r="E108" s="358">
        <v>360</v>
      </c>
      <c r="F108" s="359">
        <v>0</v>
      </c>
      <c r="G108" s="360"/>
      <c r="H108" s="361"/>
      <c r="I108" s="358">
        <v>225</v>
      </c>
      <c r="J108" s="359">
        <v>405</v>
      </c>
      <c r="K108" s="360"/>
      <c r="L108" s="361"/>
      <c r="M108" s="358">
        <v>985.875</v>
      </c>
      <c r="N108" s="359">
        <v>491.79166666666669</v>
      </c>
      <c r="O108" s="360"/>
      <c r="P108" s="361"/>
      <c r="Q108" s="358">
        <v>1570.875</v>
      </c>
      <c r="R108" s="362">
        <v>896.79166666666674</v>
      </c>
      <c r="S108" s="360">
        <v>0</v>
      </c>
      <c r="T108" s="361"/>
      <c r="V108" s="363">
        <v>0</v>
      </c>
      <c r="W108" s="360"/>
      <c r="X108" s="363">
        <v>0</v>
      </c>
      <c r="Y108" s="360"/>
      <c r="Z108" s="363">
        <v>0</v>
      </c>
      <c r="AA108" s="360"/>
      <c r="AB108" s="359">
        <v>0</v>
      </c>
      <c r="AC108" s="360">
        <v>0</v>
      </c>
      <c r="AD108" s="363">
        <v>0</v>
      </c>
      <c r="AE108" s="360"/>
      <c r="AF108" s="363">
        <v>0</v>
      </c>
      <c r="AG108" s="360"/>
      <c r="AH108" s="363">
        <v>0</v>
      </c>
      <c r="AI108" s="360"/>
      <c r="AJ108" s="363">
        <v>0</v>
      </c>
      <c r="AK108" s="361">
        <v>0</v>
      </c>
      <c r="AL108" s="363">
        <v>0</v>
      </c>
      <c r="AM108" s="361">
        <v>0</v>
      </c>
      <c r="AO108" s="363">
        <v>0</v>
      </c>
      <c r="AP108" s="360"/>
      <c r="AQ108" s="363">
        <v>0</v>
      </c>
      <c r="AR108" s="360"/>
      <c r="AS108" s="363">
        <v>0</v>
      </c>
      <c r="AT108" s="360"/>
      <c r="AU108" s="363">
        <v>0</v>
      </c>
      <c r="AV108" s="361">
        <v>0</v>
      </c>
    </row>
    <row r="109" spans="2:48" x14ac:dyDescent="0.25">
      <c r="B109" s="364" t="s">
        <v>410</v>
      </c>
      <c r="C109" t="s">
        <v>409</v>
      </c>
      <c r="D109" t="s">
        <v>936</v>
      </c>
      <c r="E109" s="358">
        <v>360</v>
      </c>
      <c r="F109" s="359">
        <v>288</v>
      </c>
      <c r="G109" s="360"/>
      <c r="H109" s="361"/>
      <c r="I109" s="358">
        <v>225</v>
      </c>
      <c r="J109" s="359">
        <v>135</v>
      </c>
      <c r="K109" s="360"/>
      <c r="L109" s="361"/>
      <c r="M109" s="358">
        <v>302.5</v>
      </c>
      <c r="N109" s="359">
        <v>242</v>
      </c>
      <c r="O109" s="360"/>
      <c r="P109" s="361"/>
      <c r="Q109" s="358">
        <v>887.5</v>
      </c>
      <c r="R109" s="362">
        <v>665</v>
      </c>
      <c r="S109" s="360">
        <v>0</v>
      </c>
      <c r="T109" s="361"/>
      <c r="V109" s="363">
        <v>0</v>
      </c>
      <c r="W109" s="360"/>
      <c r="X109" s="363">
        <v>0</v>
      </c>
      <c r="Y109" s="360"/>
      <c r="Z109" s="363">
        <v>0</v>
      </c>
      <c r="AA109" s="360"/>
      <c r="AB109" s="359">
        <v>0</v>
      </c>
      <c r="AC109" s="360">
        <v>0</v>
      </c>
      <c r="AD109" s="363">
        <v>0</v>
      </c>
      <c r="AE109" s="360"/>
      <c r="AF109" s="363">
        <v>0</v>
      </c>
      <c r="AG109" s="360"/>
      <c r="AH109" s="363">
        <v>0</v>
      </c>
      <c r="AI109" s="360"/>
      <c r="AJ109" s="363">
        <v>0</v>
      </c>
      <c r="AK109" s="361">
        <v>0</v>
      </c>
      <c r="AL109" s="363">
        <v>0</v>
      </c>
      <c r="AM109" s="361">
        <v>0</v>
      </c>
      <c r="AO109" s="363">
        <v>0</v>
      </c>
      <c r="AP109" s="360"/>
      <c r="AQ109" s="363">
        <v>0</v>
      </c>
      <c r="AR109" s="360"/>
      <c r="AS109" s="363">
        <v>0</v>
      </c>
      <c r="AT109" s="360"/>
      <c r="AU109" s="363">
        <v>0</v>
      </c>
      <c r="AV109" s="361">
        <v>0</v>
      </c>
    </row>
    <row r="110" spans="2:48" x14ac:dyDescent="0.25">
      <c r="B110" s="364" t="s">
        <v>411</v>
      </c>
      <c r="D110">
        <v>0</v>
      </c>
      <c r="E110" s="358">
        <v>0</v>
      </c>
      <c r="F110" s="359">
        <v>0</v>
      </c>
      <c r="G110" s="360"/>
      <c r="H110" s="361"/>
      <c r="I110" s="358">
        <v>0</v>
      </c>
      <c r="J110" s="359">
        <v>0</v>
      </c>
      <c r="K110" s="360"/>
      <c r="L110" s="361"/>
      <c r="M110" s="358">
        <v>0</v>
      </c>
      <c r="N110" s="359">
        <v>0</v>
      </c>
      <c r="O110" s="360"/>
      <c r="P110" s="361"/>
      <c r="Q110" s="358">
        <v>0</v>
      </c>
      <c r="R110" s="362">
        <v>0</v>
      </c>
      <c r="S110" s="360">
        <v>0</v>
      </c>
      <c r="T110" s="361"/>
      <c r="V110" s="363">
        <v>0</v>
      </c>
      <c r="W110" s="360"/>
      <c r="X110" s="363">
        <v>0</v>
      </c>
      <c r="Y110" s="360"/>
      <c r="Z110" s="363">
        <v>0</v>
      </c>
      <c r="AA110" s="360"/>
      <c r="AB110" s="359">
        <v>0</v>
      </c>
      <c r="AC110" s="360">
        <v>0</v>
      </c>
      <c r="AD110" s="363">
        <v>0</v>
      </c>
      <c r="AE110" s="360"/>
      <c r="AF110" s="363">
        <v>0</v>
      </c>
      <c r="AG110" s="360"/>
      <c r="AH110" s="363">
        <v>0</v>
      </c>
      <c r="AI110" s="360"/>
      <c r="AJ110" s="363">
        <v>0</v>
      </c>
      <c r="AK110" s="361">
        <v>0</v>
      </c>
      <c r="AL110" s="363">
        <v>0</v>
      </c>
      <c r="AM110" s="361">
        <v>0</v>
      </c>
      <c r="AO110" s="363">
        <v>0</v>
      </c>
      <c r="AP110" s="360"/>
      <c r="AQ110" s="363">
        <v>0</v>
      </c>
      <c r="AR110" s="360"/>
      <c r="AS110" s="363">
        <v>0</v>
      </c>
      <c r="AT110" s="360"/>
      <c r="AU110" s="363">
        <v>0</v>
      </c>
      <c r="AV110" s="361">
        <v>0</v>
      </c>
    </row>
    <row r="111" spans="2:48" x14ac:dyDescent="0.25">
      <c r="B111" s="364" t="s">
        <v>413</v>
      </c>
      <c r="C111" t="s">
        <v>412</v>
      </c>
      <c r="D111" t="s">
        <v>937</v>
      </c>
      <c r="E111" s="358">
        <v>108</v>
      </c>
      <c r="F111" s="359">
        <v>0</v>
      </c>
      <c r="G111" s="360"/>
      <c r="H111" s="361"/>
      <c r="I111" s="358">
        <v>450</v>
      </c>
      <c r="J111" s="359">
        <v>360</v>
      </c>
      <c r="K111" s="360"/>
      <c r="L111" s="361"/>
      <c r="M111" s="358">
        <v>0</v>
      </c>
      <c r="N111" s="359">
        <v>0</v>
      </c>
      <c r="O111" s="360"/>
      <c r="P111" s="361"/>
      <c r="Q111" s="358">
        <v>558</v>
      </c>
      <c r="R111" s="362">
        <v>360</v>
      </c>
      <c r="S111" s="360">
        <v>0</v>
      </c>
      <c r="T111" s="361"/>
      <c r="V111" s="363">
        <v>108</v>
      </c>
      <c r="W111" s="360"/>
      <c r="X111" s="363">
        <v>0</v>
      </c>
      <c r="Y111" s="360"/>
      <c r="Z111" s="363">
        <v>0</v>
      </c>
      <c r="AA111" s="360"/>
      <c r="AB111" s="359">
        <v>108</v>
      </c>
      <c r="AC111" s="360">
        <v>0</v>
      </c>
      <c r="AD111" s="363">
        <v>0</v>
      </c>
      <c r="AE111" s="360"/>
      <c r="AF111" s="363">
        <v>225</v>
      </c>
      <c r="AG111" s="360"/>
      <c r="AH111" s="363">
        <v>0</v>
      </c>
      <c r="AI111" s="360"/>
      <c r="AJ111" s="363">
        <v>225</v>
      </c>
      <c r="AK111" s="361">
        <v>0</v>
      </c>
      <c r="AL111" s="363">
        <v>333</v>
      </c>
      <c r="AM111" s="361">
        <v>0</v>
      </c>
      <c r="AO111" s="363">
        <v>0</v>
      </c>
      <c r="AP111" s="360"/>
      <c r="AQ111" s="363">
        <v>0</v>
      </c>
      <c r="AR111" s="360"/>
      <c r="AS111" s="363">
        <v>0</v>
      </c>
      <c r="AT111" s="360"/>
      <c r="AU111" s="363">
        <v>0</v>
      </c>
      <c r="AV111" s="361">
        <v>0</v>
      </c>
    </row>
    <row r="112" spans="2:48" x14ac:dyDescent="0.25">
      <c r="B112" s="364" t="s">
        <v>419</v>
      </c>
      <c r="C112" t="s">
        <v>938</v>
      </c>
      <c r="D112" t="s">
        <v>938</v>
      </c>
      <c r="E112" s="358">
        <v>570</v>
      </c>
      <c r="F112" s="359">
        <v>390</v>
      </c>
      <c r="G112" s="360"/>
      <c r="H112" s="361"/>
      <c r="I112" s="358">
        <v>205.71428571428569</v>
      </c>
      <c r="J112" s="359">
        <v>205.71428571428569</v>
      </c>
      <c r="K112" s="360"/>
      <c r="L112" s="361"/>
      <c r="M112" s="358">
        <v>180</v>
      </c>
      <c r="N112" s="359">
        <v>180</v>
      </c>
      <c r="O112" s="360"/>
      <c r="P112" s="361"/>
      <c r="Q112" s="358">
        <v>955.71428571428567</v>
      </c>
      <c r="R112" s="362">
        <v>775.71428571428567</v>
      </c>
      <c r="S112" s="360">
        <v>0</v>
      </c>
      <c r="T112" s="361"/>
      <c r="V112" s="363">
        <v>0</v>
      </c>
      <c r="W112" s="360"/>
      <c r="X112" s="363">
        <v>0</v>
      </c>
      <c r="Y112" s="360"/>
      <c r="Z112" s="363">
        <v>0</v>
      </c>
      <c r="AA112" s="360"/>
      <c r="AB112" s="359">
        <v>0</v>
      </c>
      <c r="AC112" s="360">
        <v>0</v>
      </c>
      <c r="AD112" s="363">
        <v>0</v>
      </c>
      <c r="AE112" s="360"/>
      <c r="AF112" s="363">
        <v>0</v>
      </c>
      <c r="AG112" s="360"/>
      <c r="AH112" s="363">
        <v>0</v>
      </c>
      <c r="AI112" s="360"/>
      <c r="AJ112" s="363">
        <v>0</v>
      </c>
      <c r="AK112" s="361">
        <v>0</v>
      </c>
      <c r="AL112" s="363">
        <v>0</v>
      </c>
      <c r="AM112" s="361">
        <v>0</v>
      </c>
      <c r="AO112" s="363">
        <v>0</v>
      </c>
      <c r="AP112" s="360"/>
      <c r="AQ112" s="363">
        <v>0</v>
      </c>
      <c r="AR112" s="360"/>
      <c r="AS112" s="363">
        <v>0</v>
      </c>
      <c r="AT112" s="360"/>
      <c r="AU112" s="363">
        <v>0</v>
      </c>
      <c r="AV112" s="361">
        <v>0</v>
      </c>
    </row>
    <row r="113" spans="2:48" x14ac:dyDescent="0.25">
      <c r="B113" s="364" t="s">
        <v>424</v>
      </c>
      <c r="C113">
        <v>205878</v>
      </c>
      <c r="D113" t="s">
        <v>939</v>
      </c>
      <c r="E113" s="358">
        <v>1101.06</v>
      </c>
      <c r="F113" s="359">
        <v>1461.06</v>
      </c>
      <c r="G113" s="360"/>
      <c r="H113" s="361"/>
      <c r="I113" s="358">
        <v>655.71428571428578</v>
      </c>
      <c r="J113" s="359">
        <v>1555.7142857142856</v>
      </c>
      <c r="K113" s="360"/>
      <c r="L113" s="361"/>
      <c r="M113" s="358">
        <v>758.72500000000014</v>
      </c>
      <c r="N113" s="359">
        <v>909.97500000000014</v>
      </c>
      <c r="O113" s="360"/>
      <c r="P113" s="361"/>
      <c r="Q113" s="358">
        <v>2515.4992857142861</v>
      </c>
      <c r="R113" s="362">
        <v>3926.7492857142861</v>
      </c>
      <c r="S113" s="360">
        <v>0</v>
      </c>
      <c r="T113" s="361"/>
      <c r="V113" s="363">
        <v>720</v>
      </c>
      <c r="W113" s="360"/>
      <c r="X113" s="363">
        <v>0</v>
      </c>
      <c r="Y113" s="360"/>
      <c r="Z113" s="363">
        <v>453.75</v>
      </c>
      <c r="AA113" s="360"/>
      <c r="AB113" s="359">
        <v>1173.75</v>
      </c>
      <c r="AC113" s="360">
        <v>0</v>
      </c>
      <c r="AD113" s="363">
        <v>720</v>
      </c>
      <c r="AE113" s="360"/>
      <c r="AF113" s="363">
        <v>225</v>
      </c>
      <c r="AG113" s="360"/>
      <c r="AH113" s="363">
        <v>605</v>
      </c>
      <c r="AI113" s="360"/>
      <c r="AJ113" s="363">
        <v>1550</v>
      </c>
      <c r="AK113" s="361">
        <v>0</v>
      </c>
      <c r="AL113" s="363">
        <v>2723.75</v>
      </c>
      <c r="AM113" s="361">
        <v>0</v>
      </c>
      <c r="AO113" s="363">
        <v>0</v>
      </c>
      <c r="AP113" s="360"/>
      <c r="AQ113" s="363">
        <v>0</v>
      </c>
      <c r="AR113" s="360"/>
      <c r="AS113" s="363">
        <v>0</v>
      </c>
      <c r="AT113" s="360"/>
      <c r="AU113" s="363">
        <v>0</v>
      </c>
      <c r="AV113" s="361">
        <v>0</v>
      </c>
    </row>
    <row r="114" spans="2:48" x14ac:dyDescent="0.25">
      <c r="B114" s="364" t="s">
        <v>940</v>
      </c>
      <c r="C114" t="s">
        <v>941</v>
      </c>
      <c r="D114" t="s">
        <v>941</v>
      </c>
      <c r="E114" s="358">
        <v>0</v>
      </c>
      <c r="F114" s="359">
        <v>180</v>
      </c>
      <c r="G114" s="360"/>
      <c r="H114" s="361"/>
      <c r="I114" s="358">
        <v>225</v>
      </c>
      <c r="J114" s="359">
        <v>135</v>
      </c>
      <c r="K114" s="360"/>
      <c r="L114" s="361"/>
      <c r="M114" s="358">
        <v>0</v>
      </c>
      <c r="N114" s="359">
        <v>0</v>
      </c>
      <c r="O114" s="360"/>
      <c r="P114" s="361"/>
      <c r="Q114" s="358">
        <v>225</v>
      </c>
      <c r="R114" s="362">
        <v>315</v>
      </c>
      <c r="S114" s="360">
        <v>0</v>
      </c>
      <c r="T114" s="361"/>
      <c r="V114" s="363">
        <v>0</v>
      </c>
      <c r="W114" s="360"/>
      <c r="X114" s="363">
        <v>210</v>
      </c>
      <c r="Y114" s="360"/>
      <c r="Z114" s="363">
        <v>0</v>
      </c>
      <c r="AA114" s="360"/>
      <c r="AB114" s="359">
        <v>210</v>
      </c>
      <c r="AC114" s="360">
        <v>0</v>
      </c>
      <c r="AD114" s="363">
        <v>0</v>
      </c>
      <c r="AE114" s="360"/>
      <c r="AF114" s="363">
        <v>0</v>
      </c>
      <c r="AG114" s="360"/>
      <c r="AH114" s="363">
        <v>0</v>
      </c>
      <c r="AI114" s="360"/>
      <c r="AJ114" s="363">
        <v>0</v>
      </c>
      <c r="AK114" s="361">
        <v>0</v>
      </c>
      <c r="AL114" s="363">
        <v>210</v>
      </c>
      <c r="AM114" s="361">
        <v>0</v>
      </c>
      <c r="AO114" s="363">
        <v>0</v>
      </c>
      <c r="AP114" s="360"/>
      <c r="AQ114" s="363">
        <v>0</v>
      </c>
      <c r="AR114" s="360"/>
      <c r="AS114" s="363">
        <v>0</v>
      </c>
      <c r="AT114" s="360"/>
      <c r="AU114" s="363">
        <v>0</v>
      </c>
      <c r="AV114" s="361">
        <v>0</v>
      </c>
    </row>
    <row r="115" spans="2:48" x14ac:dyDescent="0.25">
      <c r="B115" s="364" t="s">
        <v>942</v>
      </c>
      <c r="C115" t="s">
        <v>943</v>
      </c>
      <c r="D115" t="s">
        <v>943</v>
      </c>
      <c r="E115" s="358">
        <v>0</v>
      </c>
      <c r="F115" s="359">
        <v>0</v>
      </c>
      <c r="G115" s="360"/>
      <c r="H115" s="361"/>
      <c r="I115" s="358">
        <v>450</v>
      </c>
      <c r="J115" s="359">
        <v>450</v>
      </c>
      <c r="K115" s="360"/>
      <c r="L115" s="361"/>
      <c r="M115" s="358">
        <v>0</v>
      </c>
      <c r="N115" s="359">
        <v>0</v>
      </c>
      <c r="O115" s="360"/>
      <c r="P115" s="361"/>
      <c r="Q115" s="358">
        <v>450</v>
      </c>
      <c r="R115" s="362">
        <v>450</v>
      </c>
      <c r="S115" s="360">
        <v>0</v>
      </c>
      <c r="T115" s="361"/>
      <c r="V115" s="363">
        <v>0</v>
      </c>
      <c r="W115" s="360"/>
      <c r="X115" s="363">
        <v>0</v>
      </c>
      <c r="Y115" s="360"/>
      <c r="Z115" s="363">
        <v>0</v>
      </c>
      <c r="AA115" s="360"/>
      <c r="AB115" s="359">
        <v>0</v>
      </c>
      <c r="AC115" s="360">
        <v>0</v>
      </c>
      <c r="AD115" s="363">
        <v>0</v>
      </c>
      <c r="AE115" s="360"/>
      <c r="AF115" s="363">
        <v>210</v>
      </c>
      <c r="AG115" s="360"/>
      <c r="AH115" s="363">
        <v>0</v>
      </c>
      <c r="AI115" s="360"/>
      <c r="AJ115" s="363">
        <v>210</v>
      </c>
      <c r="AK115" s="361">
        <v>0</v>
      </c>
      <c r="AL115" s="363">
        <v>210</v>
      </c>
      <c r="AM115" s="361">
        <v>0</v>
      </c>
      <c r="AO115" s="363">
        <v>0</v>
      </c>
      <c r="AP115" s="360"/>
      <c r="AQ115" s="363">
        <v>0</v>
      </c>
      <c r="AR115" s="360"/>
      <c r="AS115" s="363">
        <v>0</v>
      </c>
      <c r="AT115" s="360"/>
      <c r="AU115" s="363">
        <v>0</v>
      </c>
      <c r="AV115" s="361">
        <v>0</v>
      </c>
    </row>
    <row r="116" spans="2:48" x14ac:dyDescent="0.25">
      <c r="B116" s="364" t="s">
        <v>426</v>
      </c>
      <c r="C116" t="s">
        <v>425</v>
      </c>
      <c r="D116" t="s">
        <v>944</v>
      </c>
      <c r="E116" s="358">
        <v>216</v>
      </c>
      <c r="F116" s="359">
        <v>360</v>
      </c>
      <c r="G116" s="360"/>
      <c r="H116" s="361"/>
      <c r="I116" s="358">
        <v>450</v>
      </c>
      <c r="J116" s="359">
        <v>225</v>
      </c>
      <c r="K116" s="360"/>
      <c r="L116" s="361"/>
      <c r="M116" s="358">
        <v>30.25</v>
      </c>
      <c r="N116" s="359">
        <v>151.25</v>
      </c>
      <c r="O116" s="360"/>
      <c r="P116" s="361"/>
      <c r="Q116" s="358">
        <v>696.25</v>
      </c>
      <c r="R116" s="362">
        <v>736.25</v>
      </c>
      <c r="S116" s="360">
        <v>0</v>
      </c>
      <c r="T116" s="361"/>
      <c r="V116" s="363">
        <v>0</v>
      </c>
      <c r="W116" s="360"/>
      <c r="X116" s="363">
        <v>0</v>
      </c>
      <c r="Y116" s="360"/>
      <c r="Z116" s="363">
        <v>0</v>
      </c>
      <c r="AA116" s="360"/>
      <c r="AB116" s="359">
        <v>0</v>
      </c>
      <c r="AC116" s="360">
        <v>0</v>
      </c>
      <c r="AD116" s="363">
        <v>0</v>
      </c>
      <c r="AE116" s="360"/>
      <c r="AF116" s="363">
        <v>0</v>
      </c>
      <c r="AG116" s="360"/>
      <c r="AH116" s="363">
        <v>0</v>
      </c>
      <c r="AI116" s="360"/>
      <c r="AJ116" s="363">
        <v>0</v>
      </c>
      <c r="AK116" s="361">
        <v>0</v>
      </c>
      <c r="AL116" s="363">
        <v>0</v>
      </c>
      <c r="AM116" s="361">
        <v>0</v>
      </c>
      <c r="AO116" s="363">
        <v>0</v>
      </c>
      <c r="AP116" s="360"/>
      <c r="AQ116" s="363">
        <v>0</v>
      </c>
      <c r="AR116" s="360"/>
      <c r="AS116" s="363">
        <v>0</v>
      </c>
      <c r="AT116" s="360"/>
      <c r="AU116" s="363">
        <v>0</v>
      </c>
      <c r="AV116" s="361">
        <v>0</v>
      </c>
    </row>
    <row r="117" spans="2:48" x14ac:dyDescent="0.25">
      <c r="B117" s="364" t="s">
        <v>428</v>
      </c>
      <c r="C117" t="s">
        <v>427</v>
      </c>
      <c r="D117" t="s">
        <v>945</v>
      </c>
      <c r="E117" s="358">
        <v>540</v>
      </c>
      <c r="F117" s="359">
        <v>540</v>
      </c>
      <c r="G117" s="360"/>
      <c r="H117" s="361"/>
      <c r="I117" s="358">
        <v>225</v>
      </c>
      <c r="J117" s="359">
        <v>225</v>
      </c>
      <c r="K117" s="360"/>
      <c r="L117" s="361"/>
      <c r="M117" s="358">
        <v>453.75</v>
      </c>
      <c r="N117" s="359">
        <v>453.75</v>
      </c>
      <c r="O117" s="360"/>
      <c r="P117" s="361"/>
      <c r="Q117" s="358">
        <v>1218.75</v>
      </c>
      <c r="R117" s="362">
        <v>1218.75</v>
      </c>
      <c r="S117" s="360">
        <v>0</v>
      </c>
      <c r="T117" s="361"/>
      <c r="V117" s="363">
        <v>0</v>
      </c>
      <c r="W117" s="360"/>
      <c r="X117" s="363">
        <v>0</v>
      </c>
      <c r="Y117" s="360"/>
      <c r="Z117" s="363">
        <v>0</v>
      </c>
      <c r="AA117" s="360"/>
      <c r="AB117" s="359">
        <v>0</v>
      </c>
      <c r="AC117" s="360">
        <v>0</v>
      </c>
      <c r="AD117" s="363">
        <v>1080</v>
      </c>
      <c r="AE117" s="360"/>
      <c r="AF117" s="363">
        <v>225</v>
      </c>
      <c r="AG117" s="360"/>
      <c r="AH117" s="363">
        <v>907.5</v>
      </c>
      <c r="AI117" s="360"/>
      <c r="AJ117" s="363">
        <v>2212.5</v>
      </c>
      <c r="AK117" s="361">
        <v>0</v>
      </c>
      <c r="AL117" s="363">
        <v>2212.5</v>
      </c>
      <c r="AM117" s="361">
        <v>0</v>
      </c>
      <c r="AO117" s="363">
        <v>0</v>
      </c>
      <c r="AP117" s="360"/>
      <c r="AQ117" s="363">
        <v>0</v>
      </c>
      <c r="AR117" s="360"/>
      <c r="AS117" s="363">
        <v>0</v>
      </c>
      <c r="AT117" s="360"/>
      <c r="AU117" s="363">
        <v>0</v>
      </c>
      <c r="AV117" s="361">
        <v>0</v>
      </c>
    </row>
    <row r="118" spans="2:48" x14ac:dyDescent="0.25">
      <c r="B118" s="364" t="s">
        <v>429</v>
      </c>
      <c r="C118" t="s">
        <v>946</v>
      </c>
      <c r="D118" t="s">
        <v>946</v>
      </c>
      <c r="E118" s="358">
        <v>180</v>
      </c>
      <c r="F118" s="359">
        <v>180</v>
      </c>
      <c r="G118" s="360"/>
      <c r="H118" s="361"/>
      <c r="I118" s="358">
        <v>270</v>
      </c>
      <c r="J118" s="359">
        <v>450</v>
      </c>
      <c r="K118" s="360"/>
      <c r="L118" s="361"/>
      <c r="M118" s="358">
        <v>165</v>
      </c>
      <c r="N118" s="359">
        <v>165</v>
      </c>
      <c r="O118" s="360"/>
      <c r="P118" s="361"/>
      <c r="Q118" s="358">
        <v>615</v>
      </c>
      <c r="R118" s="362">
        <v>795</v>
      </c>
      <c r="S118" s="360">
        <v>0</v>
      </c>
      <c r="T118" s="361"/>
      <c r="V118" s="363">
        <v>0</v>
      </c>
      <c r="W118" s="360"/>
      <c r="X118" s="363">
        <v>0</v>
      </c>
      <c r="Y118" s="360"/>
      <c r="Z118" s="363">
        <v>0</v>
      </c>
      <c r="AA118" s="360"/>
      <c r="AB118" s="359">
        <v>0</v>
      </c>
      <c r="AC118" s="360">
        <v>0</v>
      </c>
      <c r="AD118" s="363">
        <v>0</v>
      </c>
      <c r="AE118" s="360"/>
      <c r="AF118" s="363">
        <v>0</v>
      </c>
      <c r="AG118" s="360"/>
      <c r="AH118" s="363">
        <v>0</v>
      </c>
      <c r="AI118" s="360"/>
      <c r="AJ118" s="363">
        <v>0</v>
      </c>
      <c r="AK118" s="361">
        <v>0</v>
      </c>
      <c r="AL118" s="363">
        <v>0</v>
      </c>
      <c r="AM118" s="361">
        <v>0</v>
      </c>
      <c r="AO118" s="363">
        <v>0</v>
      </c>
      <c r="AP118" s="360"/>
      <c r="AQ118" s="363">
        <v>0</v>
      </c>
      <c r="AR118" s="360"/>
      <c r="AS118" s="363">
        <v>0</v>
      </c>
      <c r="AT118" s="360"/>
      <c r="AU118" s="363">
        <v>0</v>
      </c>
      <c r="AV118" s="361">
        <v>0</v>
      </c>
    </row>
    <row r="119" spans="2:48" x14ac:dyDescent="0.25">
      <c r="B119" s="364" t="s">
        <v>430</v>
      </c>
      <c r="C119" t="s">
        <v>682</v>
      </c>
      <c r="D119" t="s">
        <v>682</v>
      </c>
      <c r="E119" s="358">
        <v>774</v>
      </c>
      <c r="F119" s="359">
        <v>732</v>
      </c>
      <c r="G119" s="360"/>
      <c r="H119" s="361"/>
      <c r="I119" s="358">
        <v>225</v>
      </c>
      <c r="J119" s="359">
        <v>0</v>
      </c>
      <c r="K119" s="360"/>
      <c r="L119" s="361"/>
      <c r="M119" s="358">
        <v>610.5</v>
      </c>
      <c r="N119" s="359">
        <v>577.5</v>
      </c>
      <c r="O119" s="360"/>
      <c r="P119" s="361"/>
      <c r="Q119" s="358">
        <v>1609.5</v>
      </c>
      <c r="R119" s="362">
        <v>1309.5</v>
      </c>
      <c r="S119" s="360">
        <v>0</v>
      </c>
      <c r="T119" s="361"/>
      <c r="V119" s="363">
        <v>0</v>
      </c>
      <c r="W119" s="360"/>
      <c r="X119" s="363">
        <v>0</v>
      </c>
      <c r="Y119" s="360"/>
      <c r="Z119" s="363">
        <v>0</v>
      </c>
      <c r="AA119" s="360"/>
      <c r="AB119" s="359">
        <v>0</v>
      </c>
      <c r="AC119" s="360">
        <v>0</v>
      </c>
      <c r="AD119" s="363">
        <v>0</v>
      </c>
      <c r="AE119" s="360"/>
      <c r="AF119" s="363">
        <v>0</v>
      </c>
      <c r="AG119" s="360"/>
      <c r="AH119" s="363">
        <v>154</v>
      </c>
      <c r="AI119" s="360"/>
      <c r="AJ119" s="363">
        <v>154</v>
      </c>
      <c r="AK119" s="361">
        <v>0</v>
      </c>
      <c r="AL119" s="363">
        <v>154</v>
      </c>
      <c r="AM119" s="361">
        <v>0</v>
      </c>
      <c r="AO119" s="363">
        <v>0</v>
      </c>
      <c r="AP119" s="360"/>
      <c r="AQ119" s="363">
        <v>0</v>
      </c>
      <c r="AR119" s="360"/>
      <c r="AS119" s="363">
        <v>0</v>
      </c>
      <c r="AT119" s="360"/>
      <c r="AU119" s="363">
        <v>0</v>
      </c>
      <c r="AV119" s="361">
        <v>0</v>
      </c>
    </row>
    <row r="120" spans="2:48" x14ac:dyDescent="0.25">
      <c r="B120" s="364" t="s">
        <v>434</v>
      </c>
      <c r="C120" t="s">
        <v>433</v>
      </c>
      <c r="D120" t="s">
        <v>947</v>
      </c>
      <c r="E120" s="358">
        <v>1080</v>
      </c>
      <c r="F120" s="359">
        <v>540</v>
      </c>
      <c r="G120" s="360"/>
      <c r="H120" s="361"/>
      <c r="I120" s="358">
        <v>450</v>
      </c>
      <c r="J120" s="359">
        <v>450</v>
      </c>
      <c r="K120" s="360"/>
      <c r="L120" s="361"/>
      <c r="M120" s="358">
        <v>756.25</v>
      </c>
      <c r="N120" s="359">
        <v>302.5</v>
      </c>
      <c r="O120" s="360"/>
      <c r="P120" s="361"/>
      <c r="Q120" s="358">
        <v>2286.25</v>
      </c>
      <c r="R120" s="362">
        <v>1292.5</v>
      </c>
      <c r="S120" s="360">
        <v>0</v>
      </c>
      <c r="T120" s="361"/>
      <c r="V120" s="363">
        <v>0</v>
      </c>
      <c r="W120" s="360"/>
      <c r="X120" s="363">
        <v>0</v>
      </c>
      <c r="Y120" s="360"/>
      <c r="Z120" s="363">
        <v>0</v>
      </c>
      <c r="AA120" s="360"/>
      <c r="AB120" s="359">
        <v>0</v>
      </c>
      <c r="AC120" s="360">
        <v>0</v>
      </c>
      <c r="AD120" s="363">
        <v>0</v>
      </c>
      <c r="AE120" s="360"/>
      <c r="AF120" s="363">
        <v>0</v>
      </c>
      <c r="AG120" s="360"/>
      <c r="AH120" s="363">
        <v>0</v>
      </c>
      <c r="AI120" s="360"/>
      <c r="AJ120" s="363">
        <v>0</v>
      </c>
      <c r="AK120" s="361">
        <v>0</v>
      </c>
      <c r="AL120" s="363">
        <v>0</v>
      </c>
      <c r="AM120" s="361">
        <v>0</v>
      </c>
      <c r="AO120" s="363">
        <v>0</v>
      </c>
      <c r="AP120" s="360"/>
      <c r="AQ120" s="363">
        <v>0</v>
      </c>
      <c r="AR120" s="360"/>
      <c r="AS120" s="363">
        <v>0</v>
      </c>
      <c r="AT120" s="360"/>
      <c r="AU120" s="363">
        <v>0</v>
      </c>
      <c r="AV120" s="361">
        <v>0</v>
      </c>
    </row>
    <row r="121" spans="2:48" x14ac:dyDescent="0.25">
      <c r="B121" s="364" t="s">
        <v>436</v>
      </c>
      <c r="C121" t="s">
        <v>435</v>
      </c>
      <c r="D121" t="s">
        <v>948</v>
      </c>
      <c r="E121" s="358">
        <v>288</v>
      </c>
      <c r="F121" s="359">
        <v>288</v>
      </c>
      <c r="G121" s="360"/>
      <c r="H121" s="361"/>
      <c r="I121" s="358">
        <v>225</v>
      </c>
      <c r="J121" s="359">
        <v>225</v>
      </c>
      <c r="K121" s="360"/>
      <c r="L121" s="361"/>
      <c r="M121" s="358">
        <v>305.25</v>
      </c>
      <c r="N121" s="359">
        <v>285.08333333333337</v>
      </c>
      <c r="O121" s="360"/>
      <c r="P121" s="361"/>
      <c r="Q121" s="358">
        <v>818.25</v>
      </c>
      <c r="R121" s="362">
        <v>798.08333333333337</v>
      </c>
      <c r="S121" s="360">
        <v>0</v>
      </c>
      <c r="T121" s="361"/>
      <c r="V121" s="363">
        <v>0</v>
      </c>
      <c r="W121" s="360"/>
      <c r="X121" s="363">
        <v>0</v>
      </c>
      <c r="Y121" s="360"/>
      <c r="Z121" s="363">
        <v>0</v>
      </c>
      <c r="AA121" s="360"/>
      <c r="AB121" s="359">
        <v>0</v>
      </c>
      <c r="AC121" s="360">
        <v>0</v>
      </c>
      <c r="AD121" s="363">
        <v>360</v>
      </c>
      <c r="AE121" s="360"/>
      <c r="AF121" s="363">
        <v>225</v>
      </c>
      <c r="AG121" s="360"/>
      <c r="AH121" s="363">
        <v>282.33333333333337</v>
      </c>
      <c r="AI121" s="360"/>
      <c r="AJ121" s="363">
        <v>867.33333333333337</v>
      </c>
      <c r="AK121" s="361">
        <v>0</v>
      </c>
      <c r="AL121" s="363">
        <v>867.33333333333337</v>
      </c>
      <c r="AM121" s="361">
        <v>0</v>
      </c>
      <c r="AO121" s="363">
        <v>0</v>
      </c>
      <c r="AP121" s="360"/>
      <c r="AQ121" s="363">
        <v>0</v>
      </c>
      <c r="AR121" s="360"/>
      <c r="AS121" s="363">
        <v>0</v>
      </c>
      <c r="AT121" s="360"/>
      <c r="AU121" s="363">
        <v>0</v>
      </c>
      <c r="AV121" s="361">
        <v>0</v>
      </c>
    </row>
    <row r="122" spans="2:48" x14ac:dyDescent="0.25">
      <c r="B122" s="364" t="s">
        <v>438</v>
      </c>
      <c r="C122" t="s">
        <v>684</v>
      </c>
      <c r="D122" t="s">
        <v>684</v>
      </c>
      <c r="E122" s="358">
        <v>360</v>
      </c>
      <c r="F122" s="359">
        <v>252</v>
      </c>
      <c r="G122" s="360"/>
      <c r="H122" s="361"/>
      <c r="I122" s="358">
        <v>112.5</v>
      </c>
      <c r="J122" s="359">
        <v>262.5</v>
      </c>
      <c r="K122" s="360"/>
      <c r="L122" s="361"/>
      <c r="M122" s="358">
        <v>151.25</v>
      </c>
      <c r="N122" s="359">
        <v>60.5</v>
      </c>
      <c r="O122" s="360"/>
      <c r="P122" s="361"/>
      <c r="Q122" s="358">
        <v>623.75</v>
      </c>
      <c r="R122" s="362">
        <v>575</v>
      </c>
      <c r="S122" s="360">
        <v>0</v>
      </c>
      <c r="T122" s="361"/>
      <c r="V122" s="363">
        <v>540</v>
      </c>
      <c r="W122" s="360"/>
      <c r="X122" s="363">
        <v>112.5</v>
      </c>
      <c r="Y122" s="360"/>
      <c r="Z122" s="363">
        <v>151.25</v>
      </c>
      <c r="AA122" s="360"/>
      <c r="AB122" s="359">
        <v>803.75</v>
      </c>
      <c r="AC122" s="360">
        <v>0</v>
      </c>
      <c r="AD122" s="363">
        <v>0</v>
      </c>
      <c r="AE122" s="360"/>
      <c r="AF122" s="363">
        <v>0</v>
      </c>
      <c r="AG122" s="360"/>
      <c r="AH122" s="363">
        <v>0</v>
      </c>
      <c r="AI122" s="360"/>
      <c r="AJ122" s="363">
        <v>0</v>
      </c>
      <c r="AK122" s="361">
        <v>0</v>
      </c>
      <c r="AL122" s="363">
        <v>803.75</v>
      </c>
      <c r="AM122" s="361">
        <v>0</v>
      </c>
      <c r="AO122" s="363">
        <v>0</v>
      </c>
      <c r="AP122" s="360"/>
      <c r="AQ122" s="363">
        <v>0</v>
      </c>
      <c r="AR122" s="360"/>
      <c r="AS122" s="363">
        <v>0</v>
      </c>
      <c r="AT122" s="360"/>
      <c r="AU122" s="363">
        <v>0</v>
      </c>
      <c r="AV122" s="361">
        <v>0</v>
      </c>
    </row>
    <row r="123" spans="2:48" x14ac:dyDescent="0.25">
      <c r="B123" s="364" t="s">
        <v>440</v>
      </c>
      <c r="C123" t="s">
        <v>439</v>
      </c>
      <c r="D123" t="s">
        <v>949</v>
      </c>
      <c r="E123" s="358">
        <v>540</v>
      </c>
      <c r="F123" s="359">
        <v>240</v>
      </c>
      <c r="G123" s="360"/>
      <c r="H123" s="361"/>
      <c r="I123" s="358">
        <v>450</v>
      </c>
      <c r="J123" s="359">
        <v>142.5</v>
      </c>
      <c r="K123" s="360"/>
      <c r="L123" s="361"/>
      <c r="M123" s="358">
        <v>453.75</v>
      </c>
      <c r="N123" s="359">
        <v>201.66666666666666</v>
      </c>
      <c r="O123" s="360"/>
      <c r="P123" s="361"/>
      <c r="Q123" s="358">
        <v>1443.75</v>
      </c>
      <c r="R123" s="362">
        <v>584.16666666666663</v>
      </c>
      <c r="S123" s="360">
        <v>0</v>
      </c>
      <c r="T123" s="361"/>
      <c r="V123" s="363">
        <v>0</v>
      </c>
      <c r="W123" s="360"/>
      <c r="X123" s="363">
        <v>0</v>
      </c>
      <c r="Y123" s="360"/>
      <c r="Z123" s="363">
        <v>0</v>
      </c>
      <c r="AA123" s="360"/>
      <c r="AB123" s="359">
        <v>0</v>
      </c>
      <c r="AC123" s="360">
        <v>0</v>
      </c>
      <c r="AD123" s="363">
        <v>288</v>
      </c>
      <c r="AE123" s="360"/>
      <c r="AF123" s="363">
        <v>0</v>
      </c>
      <c r="AG123" s="360"/>
      <c r="AH123" s="363">
        <v>242</v>
      </c>
      <c r="AI123" s="360"/>
      <c r="AJ123" s="363">
        <v>530</v>
      </c>
      <c r="AK123" s="361">
        <v>0</v>
      </c>
      <c r="AL123" s="363">
        <v>530</v>
      </c>
      <c r="AM123" s="361">
        <v>0</v>
      </c>
      <c r="AO123" s="363">
        <v>0</v>
      </c>
      <c r="AP123" s="360"/>
      <c r="AQ123" s="363">
        <v>0</v>
      </c>
      <c r="AR123" s="360"/>
      <c r="AS123" s="363">
        <v>0</v>
      </c>
      <c r="AT123" s="360"/>
      <c r="AU123" s="363">
        <v>0</v>
      </c>
      <c r="AV123" s="361">
        <v>0</v>
      </c>
    </row>
    <row r="124" spans="2:48" x14ac:dyDescent="0.25">
      <c r="B124" s="364" t="s">
        <v>444</v>
      </c>
      <c r="C124" t="s">
        <v>443</v>
      </c>
      <c r="D124" t="s">
        <v>950</v>
      </c>
      <c r="E124" s="358">
        <v>180</v>
      </c>
      <c r="F124" s="359">
        <v>0</v>
      </c>
      <c r="G124" s="360"/>
      <c r="H124" s="361"/>
      <c r="I124" s="358">
        <v>225</v>
      </c>
      <c r="J124" s="359">
        <v>0</v>
      </c>
      <c r="K124" s="360"/>
      <c r="L124" s="361"/>
      <c r="M124" s="358">
        <v>0</v>
      </c>
      <c r="N124" s="359">
        <v>0</v>
      </c>
      <c r="O124" s="360"/>
      <c r="P124" s="361"/>
      <c r="Q124" s="358">
        <v>405</v>
      </c>
      <c r="R124" s="362">
        <v>0</v>
      </c>
      <c r="S124" s="360">
        <v>0</v>
      </c>
      <c r="T124" s="361"/>
      <c r="V124" s="363">
        <v>0</v>
      </c>
      <c r="W124" s="360"/>
      <c r="X124" s="363">
        <v>0</v>
      </c>
      <c r="Y124" s="360"/>
      <c r="Z124" s="363">
        <v>0</v>
      </c>
      <c r="AA124" s="360"/>
      <c r="AB124" s="359">
        <v>0</v>
      </c>
      <c r="AC124" s="360">
        <v>0</v>
      </c>
      <c r="AD124" s="363">
        <v>0</v>
      </c>
      <c r="AE124" s="360"/>
      <c r="AF124" s="363">
        <v>0</v>
      </c>
      <c r="AG124" s="360"/>
      <c r="AH124" s="363">
        <v>0</v>
      </c>
      <c r="AI124" s="360"/>
      <c r="AJ124" s="363">
        <v>0</v>
      </c>
      <c r="AK124" s="361">
        <v>0</v>
      </c>
      <c r="AL124" s="363">
        <v>0</v>
      </c>
      <c r="AM124" s="361">
        <v>0</v>
      </c>
      <c r="AO124" s="363">
        <v>0</v>
      </c>
      <c r="AP124" s="360"/>
      <c r="AQ124" s="363">
        <v>0</v>
      </c>
      <c r="AR124" s="360"/>
      <c r="AS124" s="363">
        <v>0</v>
      </c>
      <c r="AT124" s="360"/>
      <c r="AU124" s="363">
        <v>0</v>
      </c>
      <c r="AV124" s="361">
        <v>0</v>
      </c>
    </row>
    <row r="125" spans="2:48" x14ac:dyDescent="0.25">
      <c r="B125" s="364" t="s">
        <v>446</v>
      </c>
      <c r="C125" t="s">
        <v>445</v>
      </c>
      <c r="D125" t="s">
        <v>951</v>
      </c>
      <c r="E125" s="358">
        <v>180</v>
      </c>
      <c r="F125" s="359">
        <v>180</v>
      </c>
      <c r="G125" s="360"/>
      <c r="H125" s="361"/>
      <c r="I125" s="358">
        <v>225</v>
      </c>
      <c r="J125" s="359">
        <v>0</v>
      </c>
      <c r="K125" s="360"/>
      <c r="L125" s="361"/>
      <c r="M125" s="358">
        <v>151.25</v>
      </c>
      <c r="N125" s="359">
        <v>151.25</v>
      </c>
      <c r="O125" s="360"/>
      <c r="P125" s="361"/>
      <c r="Q125" s="358">
        <v>556.25</v>
      </c>
      <c r="R125" s="362">
        <v>331.25</v>
      </c>
      <c r="S125" s="360">
        <v>0</v>
      </c>
      <c r="T125" s="361"/>
      <c r="V125" s="363">
        <v>360</v>
      </c>
      <c r="W125" s="360"/>
      <c r="X125" s="363">
        <v>0</v>
      </c>
      <c r="Y125" s="360"/>
      <c r="Z125" s="363">
        <v>302.5</v>
      </c>
      <c r="AA125" s="360"/>
      <c r="AB125" s="359">
        <v>662.5</v>
      </c>
      <c r="AC125" s="360">
        <v>0</v>
      </c>
      <c r="AD125" s="363">
        <v>0</v>
      </c>
      <c r="AE125" s="360"/>
      <c r="AF125" s="363">
        <v>0</v>
      </c>
      <c r="AG125" s="360"/>
      <c r="AH125" s="363">
        <v>0</v>
      </c>
      <c r="AI125" s="360"/>
      <c r="AJ125" s="363">
        <v>0</v>
      </c>
      <c r="AK125" s="361">
        <v>0</v>
      </c>
      <c r="AL125" s="363">
        <v>662.5</v>
      </c>
      <c r="AM125" s="361">
        <v>0</v>
      </c>
      <c r="AO125" s="363">
        <v>0</v>
      </c>
      <c r="AP125" s="360"/>
      <c r="AQ125" s="363">
        <v>0</v>
      </c>
      <c r="AR125" s="360"/>
      <c r="AS125" s="363">
        <v>0</v>
      </c>
      <c r="AT125" s="360"/>
      <c r="AU125" s="363">
        <v>0</v>
      </c>
      <c r="AV125" s="361">
        <v>0</v>
      </c>
    </row>
    <row r="126" spans="2:48" x14ac:dyDescent="0.25">
      <c r="B126" s="364" t="s">
        <v>448</v>
      </c>
      <c r="C126" t="s">
        <v>447</v>
      </c>
      <c r="D126" t="s">
        <v>952</v>
      </c>
      <c r="E126" s="358">
        <v>720</v>
      </c>
      <c r="F126" s="359">
        <v>0</v>
      </c>
      <c r="G126" s="360"/>
      <c r="H126" s="361"/>
      <c r="I126" s="358">
        <v>675</v>
      </c>
      <c r="J126" s="359">
        <v>0</v>
      </c>
      <c r="K126" s="360"/>
      <c r="L126" s="361"/>
      <c r="M126" s="358">
        <v>605</v>
      </c>
      <c r="N126" s="359">
        <v>0</v>
      </c>
      <c r="O126" s="360"/>
      <c r="P126" s="361"/>
      <c r="Q126" s="358">
        <v>2000</v>
      </c>
      <c r="R126" s="362">
        <v>0</v>
      </c>
      <c r="S126" s="360">
        <v>0</v>
      </c>
      <c r="T126" s="361"/>
      <c r="V126" s="363">
        <v>0</v>
      </c>
      <c r="W126" s="360"/>
      <c r="X126" s="363">
        <v>0</v>
      </c>
      <c r="Y126" s="360"/>
      <c r="Z126" s="363">
        <v>0</v>
      </c>
      <c r="AA126" s="360"/>
      <c r="AB126" s="359">
        <v>0</v>
      </c>
      <c r="AC126" s="360">
        <v>0</v>
      </c>
      <c r="AD126" s="363">
        <v>0</v>
      </c>
      <c r="AE126" s="360"/>
      <c r="AF126" s="363">
        <v>0</v>
      </c>
      <c r="AG126" s="360"/>
      <c r="AH126" s="363">
        <v>0</v>
      </c>
      <c r="AI126" s="360"/>
      <c r="AJ126" s="363">
        <v>0</v>
      </c>
      <c r="AK126" s="361">
        <v>0</v>
      </c>
      <c r="AL126" s="363">
        <v>0</v>
      </c>
      <c r="AM126" s="361">
        <v>0</v>
      </c>
      <c r="AO126" s="363">
        <v>720</v>
      </c>
      <c r="AP126" s="360"/>
      <c r="AQ126" s="363">
        <v>675</v>
      </c>
      <c r="AR126" s="360"/>
      <c r="AS126" s="363">
        <v>453.75</v>
      </c>
      <c r="AT126" s="360"/>
      <c r="AU126" s="363">
        <v>1848.75</v>
      </c>
      <c r="AV126" s="361">
        <v>0</v>
      </c>
    </row>
    <row r="127" spans="2:48" x14ac:dyDescent="0.25">
      <c r="B127" s="364" t="s">
        <v>449</v>
      </c>
      <c r="C127">
        <v>206046</v>
      </c>
      <c r="D127" t="s">
        <v>953</v>
      </c>
      <c r="E127" s="358">
        <v>252</v>
      </c>
      <c r="F127" s="359">
        <v>1494</v>
      </c>
      <c r="G127" s="360"/>
      <c r="H127" s="361"/>
      <c r="I127" s="358">
        <v>0</v>
      </c>
      <c r="J127" s="359">
        <v>607.5</v>
      </c>
      <c r="K127" s="360"/>
      <c r="L127" s="361"/>
      <c r="M127" s="358">
        <v>211.75</v>
      </c>
      <c r="N127" s="359">
        <v>1134.375</v>
      </c>
      <c r="O127" s="360"/>
      <c r="P127" s="361"/>
      <c r="Q127" s="358">
        <v>463.75</v>
      </c>
      <c r="R127" s="362">
        <v>3235.875</v>
      </c>
      <c r="S127" s="360">
        <v>0</v>
      </c>
      <c r="T127" s="361"/>
      <c r="V127" s="363">
        <v>0</v>
      </c>
      <c r="W127" s="360"/>
      <c r="X127" s="363">
        <v>0</v>
      </c>
      <c r="Y127" s="360"/>
      <c r="Z127" s="363">
        <v>0</v>
      </c>
      <c r="AA127" s="360"/>
      <c r="AB127" s="359">
        <v>0</v>
      </c>
      <c r="AC127" s="360">
        <v>0</v>
      </c>
      <c r="AD127" s="363">
        <v>0</v>
      </c>
      <c r="AE127" s="360"/>
      <c r="AF127" s="363">
        <v>0</v>
      </c>
      <c r="AG127" s="360"/>
      <c r="AH127" s="363">
        <v>0</v>
      </c>
      <c r="AI127" s="360"/>
      <c r="AJ127" s="363">
        <v>0</v>
      </c>
      <c r="AK127" s="361">
        <v>0</v>
      </c>
      <c r="AL127" s="363">
        <v>0</v>
      </c>
      <c r="AM127" s="361">
        <v>0</v>
      </c>
      <c r="AO127" s="363">
        <v>0</v>
      </c>
      <c r="AP127" s="360"/>
      <c r="AQ127" s="363">
        <v>0</v>
      </c>
      <c r="AR127" s="360"/>
      <c r="AS127" s="363">
        <v>0</v>
      </c>
      <c r="AT127" s="360"/>
      <c r="AU127" s="363">
        <v>0</v>
      </c>
      <c r="AV127" s="361">
        <v>0</v>
      </c>
    </row>
    <row r="128" spans="2:48" x14ac:dyDescent="0.25">
      <c r="B128" s="364" t="s">
        <v>451</v>
      </c>
      <c r="C128" t="s">
        <v>954</v>
      </c>
      <c r="D128" t="s">
        <v>954</v>
      </c>
      <c r="E128" s="358">
        <v>180</v>
      </c>
      <c r="F128" s="359">
        <v>180</v>
      </c>
      <c r="G128" s="360"/>
      <c r="H128" s="361"/>
      <c r="I128" s="358">
        <v>225</v>
      </c>
      <c r="J128" s="359">
        <v>112.5</v>
      </c>
      <c r="K128" s="360"/>
      <c r="L128" s="361"/>
      <c r="M128" s="358">
        <v>0</v>
      </c>
      <c r="N128" s="359">
        <v>0</v>
      </c>
      <c r="O128" s="360"/>
      <c r="P128" s="361"/>
      <c r="Q128" s="358">
        <v>405</v>
      </c>
      <c r="R128" s="362">
        <v>292.5</v>
      </c>
      <c r="S128" s="360">
        <v>0</v>
      </c>
      <c r="T128" s="361"/>
      <c r="V128" s="363">
        <v>360</v>
      </c>
      <c r="W128" s="360"/>
      <c r="X128" s="363">
        <v>210</v>
      </c>
      <c r="Y128" s="360"/>
      <c r="Z128" s="363">
        <v>0</v>
      </c>
      <c r="AA128" s="360"/>
      <c r="AB128" s="359">
        <v>570</v>
      </c>
      <c r="AC128" s="360">
        <v>0</v>
      </c>
      <c r="AD128" s="363">
        <v>0</v>
      </c>
      <c r="AE128" s="360"/>
      <c r="AF128" s="363">
        <v>0</v>
      </c>
      <c r="AG128" s="360"/>
      <c r="AH128" s="363">
        <v>0</v>
      </c>
      <c r="AI128" s="360"/>
      <c r="AJ128" s="363">
        <v>0</v>
      </c>
      <c r="AK128" s="361">
        <v>0</v>
      </c>
      <c r="AL128" s="363">
        <v>570</v>
      </c>
      <c r="AM128" s="361">
        <v>0</v>
      </c>
      <c r="AO128" s="363">
        <v>0</v>
      </c>
      <c r="AP128" s="360"/>
      <c r="AQ128" s="363">
        <v>0</v>
      </c>
      <c r="AR128" s="360"/>
      <c r="AS128" s="363">
        <v>0</v>
      </c>
      <c r="AT128" s="360"/>
      <c r="AU128" s="363">
        <v>0</v>
      </c>
      <c r="AV128" s="361">
        <v>0</v>
      </c>
    </row>
    <row r="129" spans="2:48" x14ac:dyDescent="0.25">
      <c r="B129" s="364" t="s">
        <v>453</v>
      </c>
      <c r="C129" t="s">
        <v>452</v>
      </c>
      <c r="D129" t="s">
        <v>955</v>
      </c>
      <c r="E129" s="358">
        <v>360</v>
      </c>
      <c r="F129" s="359">
        <v>120</v>
      </c>
      <c r="G129" s="360"/>
      <c r="H129" s="361"/>
      <c r="I129" s="358">
        <v>0</v>
      </c>
      <c r="J129" s="359">
        <v>0</v>
      </c>
      <c r="K129" s="360"/>
      <c r="L129" s="361"/>
      <c r="M129" s="358">
        <v>302.5</v>
      </c>
      <c r="N129" s="359">
        <v>100.83333333333333</v>
      </c>
      <c r="O129" s="360"/>
      <c r="P129" s="361"/>
      <c r="Q129" s="358">
        <v>662.5</v>
      </c>
      <c r="R129" s="362">
        <v>220.83333333333331</v>
      </c>
      <c r="S129" s="360">
        <v>0</v>
      </c>
      <c r="T129" s="361"/>
      <c r="V129" s="363">
        <v>0</v>
      </c>
      <c r="W129" s="360"/>
      <c r="X129" s="363">
        <v>0</v>
      </c>
      <c r="Y129" s="360"/>
      <c r="Z129" s="363">
        <v>0</v>
      </c>
      <c r="AA129" s="360"/>
      <c r="AB129" s="359">
        <v>0</v>
      </c>
      <c r="AC129" s="360">
        <v>0</v>
      </c>
      <c r="AD129" s="363">
        <v>210</v>
      </c>
      <c r="AE129" s="360"/>
      <c r="AF129" s="363">
        <v>0</v>
      </c>
      <c r="AG129" s="360"/>
      <c r="AH129" s="363">
        <v>176.45833333333334</v>
      </c>
      <c r="AI129" s="360"/>
      <c r="AJ129" s="363">
        <v>386.45833333333337</v>
      </c>
      <c r="AK129" s="361">
        <v>0</v>
      </c>
      <c r="AL129" s="363">
        <v>386.45833333333337</v>
      </c>
      <c r="AM129" s="361">
        <v>0</v>
      </c>
      <c r="AO129" s="363">
        <v>0</v>
      </c>
      <c r="AP129" s="360"/>
      <c r="AQ129" s="363">
        <v>0</v>
      </c>
      <c r="AR129" s="360"/>
      <c r="AS129" s="363">
        <v>0</v>
      </c>
      <c r="AT129" s="360"/>
      <c r="AU129" s="363">
        <v>0</v>
      </c>
      <c r="AV129" s="361">
        <v>0</v>
      </c>
    </row>
    <row r="130" spans="2:48" x14ac:dyDescent="0.25">
      <c r="B130" s="364" t="s">
        <v>457</v>
      </c>
      <c r="C130">
        <v>205978</v>
      </c>
      <c r="D130" t="s">
        <v>956</v>
      </c>
      <c r="E130" s="358">
        <v>348</v>
      </c>
      <c r="F130" s="359">
        <v>180</v>
      </c>
      <c r="G130" s="360"/>
      <c r="H130" s="361"/>
      <c r="I130" s="358">
        <v>0</v>
      </c>
      <c r="J130" s="359">
        <v>0</v>
      </c>
      <c r="K130" s="360"/>
      <c r="L130" s="361"/>
      <c r="M130" s="358">
        <v>292.41666666666663</v>
      </c>
      <c r="N130" s="359">
        <v>151.25</v>
      </c>
      <c r="O130" s="360"/>
      <c r="P130" s="361"/>
      <c r="Q130" s="358">
        <v>640.41666666666663</v>
      </c>
      <c r="R130" s="362">
        <v>331.25</v>
      </c>
      <c r="S130" s="360">
        <v>0</v>
      </c>
      <c r="T130" s="361"/>
      <c r="V130" s="363">
        <v>348</v>
      </c>
      <c r="W130" s="360"/>
      <c r="X130" s="363">
        <v>0</v>
      </c>
      <c r="Y130" s="360"/>
      <c r="Z130" s="363">
        <v>292.41666666666663</v>
      </c>
      <c r="AA130" s="360"/>
      <c r="AB130" s="359">
        <v>640.41666666666663</v>
      </c>
      <c r="AC130" s="360">
        <v>0</v>
      </c>
      <c r="AD130" s="363">
        <v>0</v>
      </c>
      <c r="AE130" s="360"/>
      <c r="AF130" s="363">
        <v>0</v>
      </c>
      <c r="AG130" s="360"/>
      <c r="AH130" s="363">
        <v>0</v>
      </c>
      <c r="AI130" s="360"/>
      <c r="AJ130" s="363">
        <v>0</v>
      </c>
      <c r="AK130" s="361">
        <v>0</v>
      </c>
      <c r="AL130" s="363">
        <v>640.41666666666663</v>
      </c>
      <c r="AM130" s="361">
        <v>0</v>
      </c>
      <c r="AO130" s="363">
        <v>0</v>
      </c>
      <c r="AP130" s="360"/>
      <c r="AQ130" s="363">
        <v>0</v>
      </c>
      <c r="AR130" s="360"/>
      <c r="AS130" s="363">
        <v>0</v>
      </c>
      <c r="AT130" s="360"/>
      <c r="AU130" s="363">
        <v>0</v>
      </c>
      <c r="AV130" s="361">
        <v>0</v>
      </c>
    </row>
    <row r="131" spans="2:48" x14ac:dyDescent="0.25">
      <c r="B131" s="364" t="s">
        <v>957</v>
      </c>
      <c r="C131" t="s">
        <v>958</v>
      </c>
      <c r="D131" t="s">
        <v>958</v>
      </c>
      <c r="E131" s="358">
        <v>180</v>
      </c>
      <c r="F131" s="359">
        <v>222</v>
      </c>
      <c r="G131" s="360"/>
      <c r="H131" s="361"/>
      <c r="I131" s="358">
        <v>0</v>
      </c>
      <c r="J131" s="359">
        <v>430</v>
      </c>
      <c r="K131" s="360"/>
      <c r="L131" s="361"/>
      <c r="M131" s="358">
        <v>165</v>
      </c>
      <c r="N131" s="359">
        <v>0</v>
      </c>
      <c r="O131" s="360"/>
      <c r="P131" s="361"/>
      <c r="Q131" s="358">
        <v>345</v>
      </c>
      <c r="R131" s="362">
        <v>652</v>
      </c>
      <c r="S131" s="360">
        <v>0</v>
      </c>
      <c r="T131" s="361"/>
      <c r="V131" s="363">
        <v>0</v>
      </c>
      <c r="W131" s="360"/>
      <c r="X131" s="363">
        <v>0</v>
      </c>
      <c r="Y131" s="360"/>
      <c r="Z131" s="363">
        <v>0</v>
      </c>
      <c r="AA131" s="360"/>
      <c r="AB131" s="359">
        <v>0</v>
      </c>
      <c r="AC131" s="360">
        <v>0</v>
      </c>
      <c r="AD131" s="363">
        <v>180</v>
      </c>
      <c r="AE131" s="360"/>
      <c r="AF131" s="363">
        <v>0</v>
      </c>
      <c r="AG131" s="360"/>
      <c r="AH131" s="363">
        <v>165</v>
      </c>
      <c r="AI131" s="360"/>
      <c r="AJ131" s="363">
        <v>345</v>
      </c>
      <c r="AK131" s="361">
        <v>0</v>
      </c>
      <c r="AL131" s="363">
        <v>345</v>
      </c>
      <c r="AM131" s="361">
        <v>0</v>
      </c>
      <c r="AO131" s="363">
        <v>0</v>
      </c>
      <c r="AP131" s="360"/>
      <c r="AQ131" s="363">
        <v>0</v>
      </c>
      <c r="AR131" s="360"/>
      <c r="AS131" s="363">
        <v>0</v>
      </c>
      <c r="AT131" s="360"/>
      <c r="AU131" s="363">
        <v>0</v>
      </c>
      <c r="AV131" s="361">
        <v>0</v>
      </c>
    </row>
    <row r="132" spans="2:48" x14ac:dyDescent="0.25">
      <c r="B132" s="364" t="s">
        <v>460</v>
      </c>
      <c r="C132" t="s">
        <v>959</v>
      </c>
      <c r="D132" t="s">
        <v>959</v>
      </c>
      <c r="E132" s="358">
        <v>0</v>
      </c>
      <c r="F132" s="359">
        <v>0</v>
      </c>
      <c r="G132" s="360"/>
      <c r="H132" s="361"/>
      <c r="I132" s="358">
        <v>0</v>
      </c>
      <c r="J132" s="359">
        <v>382</v>
      </c>
      <c r="K132" s="360"/>
      <c r="L132" s="361"/>
      <c r="M132" s="358">
        <v>0</v>
      </c>
      <c r="N132" s="359">
        <v>0</v>
      </c>
      <c r="O132" s="360"/>
      <c r="P132" s="361"/>
      <c r="Q132" s="358">
        <v>0</v>
      </c>
      <c r="R132" s="362">
        <v>382</v>
      </c>
      <c r="S132" s="360">
        <v>0</v>
      </c>
      <c r="T132" s="361"/>
      <c r="V132" s="363">
        <v>0</v>
      </c>
      <c r="W132" s="360"/>
      <c r="X132" s="363">
        <v>0</v>
      </c>
      <c r="Y132" s="360"/>
      <c r="Z132" s="363">
        <v>0</v>
      </c>
      <c r="AA132" s="360"/>
      <c r="AB132" s="359">
        <v>0</v>
      </c>
      <c r="AC132" s="360">
        <v>0</v>
      </c>
      <c r="AD132" s="363">
        <v>0</v>
      </c>
      <c r="AE132" s="360"/>
      <c r="AF132" s="363">
        <v>0</v>
      </c>
      <c r="AG132" s="360"/>
      <c r="AH132" s="363">
        <v>0</v>
      </c>
      <c r="AI132" s="360"/>
      <c r="AJ132" s="363">
        <v>0</v>
      </c>
      <c r="AK132" s="361">
        <v>0</v>
      </c>
      <c r="AL132" s="363">
        <v>0</v>
      </c>
      <c r="AM132" s="361">
        <v>0</v>
      </c>
      <c r="AO132" s="363">
        <v>0</v>
      </c>
      <c r="AP132" s="360"/>
      <c r="AQ132" s="363">
        <v>0</v>
      </c>
      <c r="AR132" s="360"/>
      <c r="AS132" s="363">
        <v>0</v>
      </c>
      <c r="AT132" s="360"/>
      <c r="AU132" s="363">
        <v>0</v>
      </c>
      <c r="AV132" s="361">
        <v>0</v>
      </c>
    </row>
    <row r="133" spans="2:48" x14ac:dyDescent="0.25">
      <c r="B133" s="364" t="s">
        <v>461</v>
      </c>
      <c r="C133">
        <v>206043</v>
      </c>
      <c r="D133" t="s">
        <v>960</v>
      </c>
      <c r="E133" s="358">
        <v>684</v>
      </c>
      <c r="F133" s="359">
        <v>528</v>
      </c>
      <c r="G133" s="360"/>
      <c r="H133" s="361"/>
      <c r="I133" s="358">
        <v>675</v>
      </c>
      <c r="J133" s="359">
        <v>802.5</v>
      </c>
      <c r="K133" s="360"/>
      <c r="L133" s="361"/>
      <c r="M133" s="358">
        <v>605</v>
      </c>
      <c r="N133" s="359">
        <v>368.04166666666669</v>
      </c>
      <c r="O133" s="360"/>
      <c r="P133" s="361"/>
      <c r="Q133" s="358">
        <v>1964</v>
      </c>
      <c r="R133" s="362">
        <v>1698.5416666666667</v>
      </c>
      <c r="S133" s="360">
        <v>0</v>
      </c>
      <c r="T133" s="361"/>
      <c r="V133" s="363">
        <v>0</v>
      </c>
      <c r="W133" s="360"/>
      <c r="X133" s="363">
        <v>0</v>
      </c>
      <c r="Y133" s="360"/>
      <c r="Z133" s="363">
        <v>0</v>
      </c>
      <c r="AA133" s="360"/>
      <c r="AB133" s="359">
        <v>0</v>
      </c>
      <c r="AC133" s="360">
        <v>0</v>
      </c>
      <c r="AD133" s="363">
        <v>114</v>
      </c>
      <c r="AE133" s="360"/>
      <c r="AF133" s="363">
        <v>0</v>
      </c>
      <c r="AG133" s="360"/>
      <c r="AH133" s="363">
        <v>277.29166666666663</v>
      </c>
      <c r="AI133" s="360"/>
      <c r="AJ133" s="363">
        <v>391.29166666666663</v>
      </c>
      <c r="AK133" s="361">
        <v>0</v>
      </c>
      <c r="AL133" s="363">
        <v>391.29166666666663</v>
      </c>
      <c r="AM133" s="361">
        <v>0</v>
      </c>
      <c r="AO133" s="363">
        <v>0</v>
      </c>
      <c r="AP133" s="360"/>
      <c r="AQ133" s="363">
        <v>0</v>
      </c>
      <c r="AR133" s="360"/>
      <c r="AS133" s="363">
        <v>0</v>
      </c>
      <c r="AT133" s="360"/>
      <c r="AU133" s="363">
        <v>0</v>
      </c>
      <c r="AV133" s="361">
        <v>0</v>
      </c>
    </row>
    <row r="134" spans="2:48" x14ac:dyDescent="0.25">
      <c r="B134" s="364" t="s">
        <v>463</v>
      </c>
      <c r="C134" t="s">
        <v>462</v>
      </c>
      <c r="D134" t="s">
        <v>961</v>
      </c>
      <c r="E134" s="358">
        <v>360</v>
      </c>
      <c r="F134" s="359">
        <v>180</v>
      </c>
      <c r="G134" s="360"/>
      <c r="H134" s="361"/>
      <c r="I134" s="358">
        <v>0</v>
      </c>
      <c r="J134" s="359">
        <v>225</v>
      </c>
      <c r="K134" s="360"/>
      <c r="L134" s="361"/>
      <c r="M134" s="358">
        <v>0</v>
      </c>
      <c r="N134" s="359">
        <v>0</v>
      </c>
      <c r="O134" s="360"/>
      <c r="P134" s="361"/>
      <c r="Q134" s="358">
        <v>360</v>
      </c>
      <c r="R134" s="362">
        <v>405</v>
      </c>
      <c r="S134" s="360">
        <v>0</v>
      </c>
      <c r="T134" s="361"/>
      <c r="V134" s="363">
        <v>0</v>
      </c>
      <c r="W134" s="360"/>
      <c r="X134" s="363">
        <v>0</v>
      </c>
      <c r="Y134" s="360"/>
      <c r="Z134" s="363">
        <v>0</v>
      </c>
      <c r="AA134" s="360"/>
      <c r="AB134" s="359">
        <v>0</v>
      </c>
      <c r="AC134" s="360">
        <v>0</v>
      </c>
      <c r="AD134" s="363">
        <v>0</v>
      </c>
      <c r="AE134" s="360"/>
      <c r="AF134" s="363">
        <v>0</v>
      </c>
      <c r="AG134" s="360"/>
      <c r="AH134" s="363">
        <v>0</v>
      </c>
      <c r="AI134" s="360"/>
      <c r="AJ134" s="363">
        <v>0</v>
      </c>
      <c r="AK134" s="361">
        <v>0</v>
      </c>
      <c r="AL134" s="363">
        <v>0</v>
      </c>
      <c r="AM134" s="361">
        <v>0</v>
      </c>
      <c r="AO134" s="363">
        <v>0</v>
      </c>
      <c r="AP134" s="360"/>
      <c r="AQ134" s="363">
        <v>0</v>
      </c>
      <c r="AR134" s="360"/>
      <c r="AS134" s="363">
        <v>0</v>
      </c>
      <c r="AT134" s="360"/>
      <c r="AU134" s="363">
        <v>0</v>
      </c>
      <c r="AV134" s="361">
        <v>0</v>
      </c>
    </row>
    <row r="135" spans="2:48" x14ac:dyDescent="0.25">
      <c r="B135" s="364" t="s">
        <v>466</v>
      </c>
      <c r="C135" t="s">
        <v>465</v>
      </c>
      <c r="D135" t="s">
        <v>962</v>
      </c>
      <c r="E135" s="358">
        <v>180</v>
      </c>
      <c r="F135" s="359">
        <v>0</v>
      </c>
      <c r="G135" s="360"/>
      <c r="H135" s="361"/>
      <c r="I135" s="358">
        <v>0</v>
      </c>
      <c r="J135" s="359">
        <v>225</v>
      </c>
      <c r="K135" s="360"/>
      <c r="L135" s="361"/>
      <c r="M135" s="358">
        <v>0</v>
      </c>
      <c r="N135" s="359">
        <v>0</v>
      </c>
      <c r="O135" s="360"/>
      <c r="P135" s="361"/>
      <c r="Q135" s="358">
        <v>180</v>
      </c>
      <c r="R135" s="362">
        <v>225</v>
      </c>
      <c r="S135" s="360">
        <v>0</v>
      </c>
      <c r="T135" s="361"/>
      <c r="V135" s="363">
        <v>0</v>
      </c>
      <c r="W135" s="360"/>
      <c r="X135" s="363">
        <v>0</v>
      </c>
      <c r="Y135" s="360"/>
      <c r="Z135" s="363">
        <v>0</v>
      </c>
      <c r="AA135" s="360"/>
      <c r="AB135" s="359">
        <v>0</v>
      </c>
      <c r="AC135" s="360">
        <v>0</v>
      </c>
      <c r="AD135" s="363">
        <v>0</v>
      </c>
      <c r="AE135" s="360"/>
      <c r="AF135" s="363">
        <v>0</v>
      </c>
      <c r="AG135" s="360"/>
      <c r="AH135" s="363">
        <v>0</v>
      </c>
      <c r="AI135" s="360"/>
      <c r="AJ135" s="363">
        <v>0</v>
      </c>
      <c r="AK135" s="361">
        <v>0</v>
      </c>
      <c r="AL135" s="363">
        <v>0</v>
      </c>
      <c r="AM135" s="361">
        <v>0</v>
      </c>
      <c r="AO135" s="363">
        <v>0</v>
      </c>
      <c r="AP135" s="360"/>
      <c r="AQ135" s="363">
        <v>0</v>
      </c>
      <c r="AR135" s="360"/>
      <c r="AS135" s="363">
        <v>0</v>
      </c>
      <c r="AT135" s="360"/>
      <c r="AU135" s="363">
        <v>0</v>
      </c>
      <c r="AV135" s="361">
        <v>0</v>
      </c>
    </row>
    <row r="136" spans="2:48" x14ac:dyDescent="0.25">
      <c r="B136" s="364" t="s">
        <v>468</v>
      </c>
      <c r="C136" t="s">
        <v>467</v>
      </c>
      <c r="D136" t="s">
        <v>963</v>
      </c>
      <c r="E136" s="358">
        <v>540</v>
      </c>
      <c r="F136" s="359">
        <v>360</v>
      </c>
      <c r="G136" s="360"/>
      <c r="H136" s="361"/>
      <c r="I136" s="358">
        <v>675</v>
      </c>
      <c r="J136" s="359">
        <v>450</v>
      </c>
      <c r="K136" s="360"/>
      <c r="L136" s="361"/>
      <c r="M136" s="358">
        <v>302.5</v>
      </c>
      <c r="N136" s="359">
        <v>0</v>
      </c>
      <c r="O136" s="360"/>
      <c r="P136" s="361"/>
      <c r="Q136" s="358">
        <v>1517.5</v>
      </c>
      <c r="R136" s="362">
        <v>810</v>
      </c>
      <c r="S136" s="360">
        <v>0</v>
      </c>
      <c r="T136" s="361"/>
      <c r="V136" s="363">
        <v>540</v>
      </c>
      <c r="W136" s="360"/>
      <c r="X136" s="363">
        <v>450</v>
      </c>
      <c r="Y136" s="360"/>
      <c r="Z136" s="363">
        <v>302.5</v>
      </c>
      <c r="AA136" s="360"/>
      <c r="AB136" s="359">
        <v>1292.5</v>
      </c>
      <c r="AC136" s="360">
        <v>0</v>
      </c>
      <c r="AD136" s="363">
        <v>360</v>
      </c>
      <c r="AE136" s="360"/>
      <c r="AF136" s="363">
        <v>225</v>
      </c>
      <c r="AG136" s="360"/>
      <c r="AH136" s="363">
        <v>0</v>
      </c>
      <c r="AI136" s="360"/>
      <c r="AJ136" s="363">
        <v>585</v>
      </c>
      <c r="AK136" s="361">
        <v>0</v>
      </c>
      <c r="AL136" s="363">
        <v>1877.5</v>
      </c>
      <c r="AM136" s="361">
        <v>0</v>
      </c>
      <c r="AO136" s="363">
        <v>0</v>
      </c>
      <c r="AP136" s="360"/>
      <c r="AQ136" s="363">
        <v>0</v>
      </c>
      <c r="AR136" s="360"/>
      <c r="AS136" s="363">
        <v>0</v>
      </c>
      <c r="AT136" s="360"/>
      <c r="AU136" s="363">
        <v>0</v>
      </c>
      <c r="AV136" s="361">
        <v>0</v>
      </c>
    </row>
    <row r="137" spans="2:48" x14ac:dyDescent="0.25">
      <c r="B137" s="364" t="s">
        <v>470</v>
      </c>
      <c r="C137" t="s">
        <v>469</v>
      </c>
      <c r="D137" t="s">
        <v>964</v>
      </c>
      <c r="E137" s="358">
        <v>930</v>
      </c>
      <c r="F137" s="359">
        <v>672</v>
      </c>
      <c r="G137" s="360"/>
      <c r="H137" s="361"/>
      <c r="I137" s="358">
        <v>0</v>
      </c>
      <c r="J137" s="359">
        <v>0</v>
      </c>
      <c r="K137" s="360"/>
      <c r="L137" s="361"/>
      <c r="M137" s="358">
        <v>605</v>
      </c>
      <c r="N137" s="359">
        <v>524.33333333333326</v>
      </c>
      <c r="O137" s="360"/>
      <c r="P137" s="361"/>
      <c r="Q137" s="358">
        <v>1535</v>
      </c>
      <c r="R137" s="362">
        <v>1196.3333333333333</v>
      </c>
      <c r="S137" s="360">
        <v>0</v>
      </c>
      <c r="T137" s="361"/>
      <c r="V137" s="363">
        <v>0</v>
      </c>
      <c r="W137" s="360"/>
      <c r="X137" s="363">
        <v>0</v>
      </c>
      <c r="Y137" s="360"/>
      <c r="Z137" s="363">
        <v>0</v>
      </c>
      <c r="AA137" s="360"/>
      <c r="AB137" s="359">
        <v>0</v>
      </c>
      <c r="AC137" s="360">
        <v>0</v>
      </c>
      <c r="AD137" s="363">
        <v>0</v>
      </c>
      <c r="AE137" s="360"/>
      <c r="AF137" s="363">
        <v>0</v>
      </c>
      <c r="AG137" s="360"/>
      <c r="AH137" s="363">
        <v>0</v>
      </c>
      <c r="AI137" s="360"/>
      <c r="AJ137" s="363">
        <v>0</v>
      </c>
      <c r="AK137" s="361">
        <v>0</v>
      </c>
      <c r="AL137" s="363">
        <v>0</v>
      </c>
      <c r="AM137" s="361">
        <v>0</v>
      </c>
      <c r="AO137" s="363">
        <v>0</v>
      </c>
      <c r="AP137" s="360"/>
      <c r="AQ137" s="363">
        <v>0</v>
      </c>
      <c r="AR137" s="360"/>
      <c r="AS137" s="363">
        <v>0</v>
      </c>
      <c r="AT137" s="360"/>
      <c r="AU137" s="363">
        <v>0</v>
      </c>
      <c r="AV137" s="361">
        <v>0</v>
      </c>
    </row>
    <row r="138" spans="2:48" x14ac:dyDescent="0.25">
      <c r="B138" s="364" t="s">
        <v>472</v>
      </c>
      <c r="C138" t="s">
        <v>471</v>
      </c>
      <c r="D138" t="s">
        <v>965</v>
      </c>
      <c r="E138" s="358">
        <v>540</v>
      </c>
      <c r="F138" s="359">
        <v>337.91999999999996</v>
      </c>
      <c r="G138" s="360"/>
      <c r="H138" s="361"/>
      <c r="I138" s="358">
        <v>411.42857142857139</v>
      </c>
      <c r="J138" s="359">
        <v>617.14285714285722</v>
      </c>
      <c r="K138" s="360"/>
      <c r="L138" s="361"/>
      <c r="M138" s="358">
        <v>302.5</v>
      </c>
      <c r="N138" s="359">
        <v>262.16666666666663</v>
      </c>
      <c r="O138" s="360"/>
      <c r="P138" s="361"/>
      <c r="Q138" s="358">
        <v>1253.9285714285713</v>
      </c>
      <c r="R138" s="362">
        <v>1217.2295238095239</v>
      </c>
      <c r="S138" s="360">
        <v>0</v>
      </c>
      <c r="T138" s="361"/>
      <c r="V138" s="363">
        <v>0</v>
      </c>
      <c r="W138" s="360"/>
      <c r="X138" s="363">
        <v>0</v>
      </c>
      <c r="Y138" s="360"/>
      <c r="Z138" s="363">
        <v>0</v>
      </c>
      <c r="AA138" s="360"/>
      <c r="AB138" s="359">
        <v>0</v>
      </c>
      <c r="AC138" s="360">
        <v>0</v>
      </c>
      <c r="AD138" s="363">
        <v>540</v>
      </c>
      <c r="AE138" s="360"/>
      <c r="AF138" s="363">
        <v>411.42857142857139</v>
      </c>
      <c r="AG138" s="360"/>
      <c r="AH138" s="363">
        <v>302.5</v>
      </c>
      <c r="AI138" s="360"/>
      <c r="AJ138" s="363">
        <v>1253.9285714285713</v>
      </c>
      <c r="AK138" s="361">
        <v>0</v>
      </c>
      <c r="AL138" s="363">
        <v>1253.9285714285713</v>
      </c>
      <c r="AM138" s="361">
        <v>0</v>
      </c>
      <c r="AO138" s="363">
        <v>0</v>
      </c>
      <c r="AP138" s="360"/>
      <c r="AQ138" s="363">
        <v>0</v>
      </c>
      <c r="AR138" s="360"/>
      <c r="AS138" s="363">
        <v>0</v>
      </c>
      <c r="AT138" s="360"/>
      <c r="AU138" s="363">
        <v>0</v>
      </c>
      <c r="AV138" s="361">
        <v>0</v>
      </c>
    </row>
    <row r="139" spans="2:48" x14ac:dyDescent="0.25">
      <c r="B139" s="364" t="s">
        <v>474</v>
      </c>
      <c r="C139" t="s">
        <v>473</v>
      </c>
      <c r="D139" t="s">
        <v>966</v>
      </c>
      <c r="E139" s="358">
        <v>360</v>
      </c>
      <c r="F139" s="359">
        <v>108</v>
      </c>
      <c r="G139" s="360"/>
      <c r="H139" s="361"/>
      <c r="I139" s="358">
        <v>225</v>
      </c>
      <c r="J139" s="359">
        <v>60</v>
      </c>
      <c r="K139" s="360"/>
      <c r="L139" s="361"/>
      <c r="M139" s="358">
        <v>302.5</v>
      </c>
      <c r="N139" s="359">
        <v>50.416666666666664</v>
      </c>
      <c r="O139" s="360"/>
      <c r="P139" s="361"/>
      <c r="Q139" s="358">
        <v>887.5</v>
      </c>
      <c r="R139" s="362">
        <v>218.41666666666666</v>
      </c>
      <c r="S139" s="360">
        <v>0</v>
      </c>
      <c r="T139" s="361"/>
      <c r="V139" s="363">
        <v>0</v>
      </c>
      <c r="W139" s="360"/>
      <c r="X139" s="363">
        <v>0</v>
      </c>
      <c r="Y139" s="360"/>
      <c r="Z139" s="363">
        <v>0</v>
      </c>
      <c r="AA139" s="360"/>
      <c r="AB139" s="359">
        <v>0</v>
      </c>
      <c r="AC139" s="360">
        <v>0</v>
      </c>
      <c r="AD139" s="363">
        <v>0</v>
      </c>
      <c r="AE139" s="360"/>
      <c r="AF139" s="363">
        <v>0</v>
      </c>
      <c r="AG139" s="360"/>
      <c r="AH139" s="363">
        <v>0</v>
      </c>
      <c r="AI139" s="360"/>
      <c r="AJ139" s="363">
        <v>0</v>
      </c>
      <c r="AK139" s="361">
        <v>0</v>
      </c>
      <c r="AL139" s="363">
        <v>0</v>
      </c>
      <c r="AM139" s="361">
        <v>0</v>
      </c>
      <c r="AO139" s="363">
        <v>0</v>
      </c>
      <c r="AP139" s="360"/>
      <c r="AQ139" s="363">
        <v>0</v>
      </c>
      <c r="AR139" s="360"/>
      <c r="AS139" s="363">
        <v>0</v>
      </c>
      <c r="AT139" s="360"/>
      <c r="AU139" s="363">
        <v>0</v>
      </c>
      <c r="AV139" s="361">
        <v>0</v>
      </c>
    </row>
    <row r="140" spans="2:48" x14ac:dyDescent="0.25">
      <c r="B140" s="364" t="s">
        <v>476</v>
      </c>
      <c r="C140" t="s">
        <v>475</v>
      </c>
      <c r="D140" t="s">
        <v>967</v>
      </c>
      <c r="E140" s="358">
        <v>360</v>
      </c>
      <c r="F140" s="359">
        <v>204</v>
      </c>
      <c r="G140" s="360"/>
      <c r="H140" s="361"/>
      <c r="I140" s="358">
        <v>0</v>
      </c>
      <c r="J140" s="359">
        <v>127.5</v>
      </c>
      <c r="K140" s="360"/>
      <c r="L140" s="361"/>
      <c r="M140" s="358">
        <v>151.25</v>
      </c>
      <c r="N140" s="359">
        <v>151.25</v>
      </c>
      <c r="O140" s="360"/>
      <c r="P140" s="361"/>
      <c r="Q140" s="358">
        <v>511.25</v>
      </c>
      <c r="R140" s="362">
        <v>482.75</v>
      </c>
      <c r="S140" s="360">
        <v>0</v>
      </c>
      <c r="T140" s="361"/>
      <c r="V140" s="363">
        <v>0</v>
      </c>
      <c r="W140" s="360"/>
      <c r="X140" s="363">
        <v>0</v>
      </c>
      <c r="Y140" s="360"/>
      <c r="Z140" s="363">
        <v>0</v>
      </c>
      <c r="AA140" s="360"/>
      <c r="AB140" s="359">
        <v>0</v>
      </c>
      <c r="AC140" s="360">
        <v>0</v>
      </c>
      <c r="AD140" s="363">
        <v>564</v>
      </c>
      <c r="AE140" s="360"/>
      <c r="AF140" s="363">
        <v>0</v>
      </c>
      <c r="AG140" s="360"/>
      <c r="AH140" s="363">
        <v>302.5</v>
      </c>
      <c r="AI140" s="360"/>
      <c r="AJ140" s="363">
        <v>866.5</v>
      </c>
      <c r="AK140" s="361">
        <v>0</v>
      </c>
      <c r="AL140" s="363">
        <v>866.5</v>
      </c>
      <c r="AM140" s="361">
        <v>0</v>
      </c>
      <c r="AO140" s="363">
        <v>0</v>
      </c>
      <c r="AP140" s="360"/>
      <c r="AQ140" s="363">
        <v>0</v>
      </c>
      <c r="AR140" s="360"/>
      <c r="AS140" s="363">
        <v>0</v>
      </c>
      <c r="AT140" s="360"/>
      <c r="AU140" s="363">
        <v>0</v>
      </c>
      <c r="AV140" s="361">
        <v>0</v>
      </c>
    </row>
    <row r="141" spans="2:48" x14ac:dyDescent="0.25">
      <c r="B141" s="364" t="s">
        <v>478</v>
      </c>
      <c r="C141" t="s">
        <v>477</v>
      </c>
      <c r="D141" t="s">
        <v>968</v>
      </c>
      <c r="E141" s="358">
        <v>360</v>
      </c>
      <c r="F141" s="359">
        <v>384</v>
      </c>
      <c r="G141" s="360"/>
      <c r="H141" s="361"/>
      <c r="I141" s="358">
        <v>0</v>
      </c>
      <c r="J141" s="359">
        <v>0</v>
      </c>
      <c r="K141" s="360"/>
      <c r="L141" s="361"/>
      <c r="M141" s="358">
        <v>0</v>
      </c>
      <c r="N141" s="359">
        <v>60.5</v>
      </c>
      <c r="O141" s="360"/>
      <c r="P141" s="361"/>
      <c r="Q141" s="358">
        <v>360</v>
      </c>
      <c r="R141" s="362">
        <v>444.5</v>
      </c>
      <c r="S141" s="360">
        <v>0</v>
      </c>
      <c r="T141" s="361"/>
      <c r="V141" s="363">
        <v>0</v>
      </c>
      <c r="W141" s="360"/>
      <c r="X141" s="363">
        <v>0</v>
      </c>
      <c r="Y141" s="360"/>
      <c r="Z141" s="363">
        <v>0</v>
      </c>
      <c r="AA141" s="360"/>
      <c r="AB141" s="359">
        <v>0</v>
      </c>
      <c r="AC141" s="360">
        <v>0</v>
      </c>
      <c r="AD141" s="363">
        <v>744</v>
      </c>
      <c r="AE141" s="360"/>
      <c r="AF141" s="363">
        <v>0</v>
      </c>
      <c r="AG141" s="360"/>
      <c r="AH141" s="363">
        <v>60.5</v>
      </c>
      <c r="AI141" s="360"/>
      <c r="AJ141" s="363">
        <v>804.5</v>
      </c>
      <c r="AK141" s="361">
        <v>0</v>
      </c>
      <c r="AL141" s="363">
        <v>804.5</v>
      </c>
      <c r="AM141" s="361">
        <v>0</v>
      </c>
      <c r="AO141" s="363">
        <v>0</v>
      </c>
      <c r="AP141" s="360"/>
      <c r="AQ141" s="363">
        <v>0</v>
      </c>
      <c r="AR141" s="360"/>
      <c r="AS141" s="363">
        <v>0</v>
      </c>
      <c r="AT141" s="360"/>
      <c r="AU141" s="363">
        <v>0</v>
      </c>
      <c r="AV141" s="361">
        <v>0</v>
      </c>
    </row>
    <row r="142" spans="2:48" x14ac:dyDescent="0.25">
      <c r="B142" s="364" t="s">
        <v>480</v>
      </c>
      <c r="C142" t="s">
        <v>479</v>
      </c>
      <c r="D142" t="s">
        <v>969</v>
      </c>
      <c r="E142" s="358">
        <v>2880</v>
      </c>
      <c r="F142" s="359">
        <v>180</v>
      </c>
      <c r="G142" s="360"/>
      <c r="H142" s="361"/>
      <c r="I142" s="358">
        <v>2925</v>
      </c>
      <c r="J142" s="359">
        <v>0</v>
      </c>
      <c r="K142" s="360"/>
      <c r="L142" s="361"/>
      <c r="M142" s="358">
        <v>1952.5</v>
      </c>
      <c r="N142" s="359">
        <v>151.25</v>
      </c>
      <c r="O142" s="360"/>
      <c r="P142" s="361"/>
      <c r="Q142" s="358">
        <v>7757.5</v>
      </c>
      <c r="R142" s="362">
        <v>331.25</v>
      </c>
      <c r="S142" s="360">
        <v>0</v>
      </c>
      <c r="T142" s="361"/>
      <c r="V142" s="363">
        <v>1800</v>
      </c>
      <c r="W142" s="360"/>
      <c r="X142" s="363">
        <v>1350</v>
      </c>
      <c r="Y142" s="360"/>
      <c r="Z142" s="363">
        <v>1210</v>
      </c>
      <c r="AA142" s="360"/>
      <c r="AB142" s="359">
        <v>4360</v>
      </c>
      <c r="AC142" s="360">
        <v>0</v>
      </c>
      <c r="AD142" s="363">
        <v>540</v>
      </c>
      <c r="AE142" s="360"/>
      <c r="AF142" s="363">
        <v>450</v>
      </c>
      <c r="AG142" s="360"/>
      <c r="AH142" s="363">
        <v>302.5</v>
      </c>
      <c r="AI142" s="360"/>
      <c r="AJ142" s="363">
        <v>1292.5</v>
      </c>
      <c r="AK142" s="361">
        <v>0</v>
      </c>
      <c r="AL142" s="363">
        <v>5652.5</v>
      </c>
      <c r="AM142" s="361">
        <v>0</v>
      </c>
      <c r="AO142" s="363">
        <v>1440</v>
      </c>
      <c r="AP142" s="360"/>
      <c r="AQ142" s="363">
        <v>0</v>
      </c>
      <c r="AR142" s="360"/>
      <c r="AS142" s="363">
        <v>1210</v>
      </c>
      <c r="AT142" s="360"/>
      <c r="AU142" s="363">
        <v>2650</v>
      </c>
      <c r="AV142" s="361">
        <v>0</v>
      </c>
    </row>
    <row r="143" spans="2:48" x14ac:dyDescent="0.25">
      <c r="B143" s="364" t="s">
        <v>970</v>
      </c>
      <c r="C143" t="s">
        <v>971</v>
      </c>
      <c r="D143" t="s">
        <v>971</v>
      </c>
      <c r="E143" s="358">
        <v>2880</v>
      </c>
      <c r="F143" s="359"/>
      <c r="G143" s="360"/>
      <c r="H143" s="361"/>
      <c r="I143" s="358">
        <v>2700</v>
      </c>
      <c r="J143" s="359"/>
      <c r="K143" s="360"/>
      <c r="L143" s="361"/>
      <c r="M143" s="358">
        <v>1980</v>
      </c>
      <c r="N143" s="359"/>
      <c r="O143" s="360"/>
      <c r="P143" s="361"/>
      <c r="Q143" s="358">
        <v>7560</v>
      </c>
      <c r="R143" s="362">
        <v>0</v>
      </c>
      <c r="S143" s="360"/>
      <c r="T143" s="361"/>
      <c r="U143" t="s">
        <v>1363</v>
      </c>
      <c r="V143" s="363"/>
      <c r="W143" s="360"/>
      <c r="X143" s="363"/>
      <c r="Y143" s="360"/>
      <c r="Z143" s="363"/>
      <c r="AA143" s="360"/>
      <c r="AB143" s="359"/>
      <c r="AC143" s="360"/>
      <c r="AD143" s="363"/>
      <c r="AE143" s="360"/>
      <c r="AF143" s="363"/>
      <c r="AG143" s="360"/>
      <c r="AH143" s="363"/>
      <c r="AI143" s="360"/>
      <c r="AJ143" s="363"/>
      <c r="AK143" s="361"/>
      <c r="AL143" s="363"/>
      <c r="AM143" s="361"/>
      <c r="AO143" s="363"/>
      <c r="AP143" s="360"/>
      <c r="AQ143" s="363"/>
      <c r="AR143" s="360"/>
      <c r="AS143" s="363"/>
      <c r="AT143" s="360"/>
      <c r="AU143" s="363"/>
      <c r="AV143" s="361"/>
    </row>
    <row r="144" spans="2:48" x14ac:dyDescent="0.25">
      <c r="B144" s="364" t="s">
        <v>482</v>
      </c>
      <c r="C144" t="s">
        <v>481</v>
      </c>
      <c r="D144" t="s">
        <v>972</v>
      </c>
      <c r="E144" s="358">
        <v>5040</v>
      </c>
      <c r="F144" s="359">
        <v>0</v>
      </c>
      <c r="G144" s="360"/>
      <c r="H144" s="361"/>
      <c r="I144" s="358">
        <v>9906.4285714285725</v>
      </c>
      <c r="J144" s="359">
        <v>0</v>
      </c>
      <c r="K144" s="360"/>
      <c r="L144" s="361"/>
      <c r="M144" s="358">
        <v>4955.5</v>
      </c>
      <c r="N144" s="359">
        <v>0</v>
      </c>
      <c r="O144" s="360"/>
      <c r="P144" s="361"/>
      <c r="Q144" s="358">
        <v>19901.928571428572</v>
      </c>
      <c r="R144" s="362">
        <v>0</v>
      </c>
      <c r="S144" s="360">
        <v>0</v>
      </c>
      <c r="T144" s="361"/>
      <c r="V144" s="363">
        <v>288</v>
      </c>
      <c r="W144" s="360"/>
      <c r="X144" s="363">
        <v>646.07142857142856</v>
      </c>
      <c r="Y144" s="360"/>
      <c r="Z144" s="363">
        <v>291.5</v>
      </c>
      <c r="AA144" s="360"/>
      <c r="AB144" s="359">
        <v>1225.5714285714284</v>
      </c>
      <c r="AC144" s="360">
        <v>0</v>
      </c>
      <c r="AD144" s="363">
        <v>288</v>
      </c>
      <c r="AE144" s="360"/>
      <c r="AF144" s="363">
        <v>1076.7857142857144</v>
      </c>
      <c r="AG144" s="360"/>
      <c r="AH144" s="363">
        <v>437.25</v>
      </c>
      <c r="AI144" s="360"/>
      <c r="AJ144" s="363">
        <v>1802.0357142857144</v>
      </c>
      <c r="AK144" s="361">
        <v>0</v>
      </c>
      <c r="AL144" s="363">
        <v>3027.6071428571431</v>
      </c>
      <c r="AM144" s="361">
        <v>0</v>
      </c>
      <c r="AO144" s="363">
        <v>144</v>
      </c>
      <c r="AP144" s="360"/>
      <c r="AQ144" s="363">
        <v>430.71428571428572</v>
      </c>
      <c r="AR144" s="360"/>
      <c r="AS144" s="363">
        <v>145.75</v>
      </c>
      <c r="AT144" s="360"/>
      <c r="AU144" s="363">
        <v>720.46428571428578</v>
      </c>
      <c r="AV144" s="361">
        <v>0</v>
      </c>
    </row>
    <row r="145" spans="2:48" x14ac:dyDescent="0.25">
      <c r="B145" s="364" t="s">
        <v>484</v>
      </c>
      <c r="C145" t="s">
        <v>483</v>
      </c>
      <c r="D145" t="s">
        <v>973</v>
      </c>
      <c r="E145" s="358">
        <v>4152.3</v>
      </c>
      <c r="F145" s="359">
        <v>1692</v>
      </c>
      <c r="G145" s="360"/>
      <c r="H145" s="361"/>
      <c r="I145" s="358">
        <v>2587.5</v>
      </c>
      <c r="J145" s="359">
        <v>588.75</v>
      </c>
      <c r="K145" s="360"/>
      <c r="L145" s="361"/>
      <c r="M145" s="358">
        <v>2858.625</v>
      </c>
      <c r="N145" s="359">
        <v>892.375</v>
      </c>
      <c r="O145" s="360"/>
      <c r="P145" s="361"/>
      <c r="Q145" s="358">
        <v>9598.4249999999993</v>
      </c>
      <c r="R145" s="362">
        <v>3173.125</v>
      </c>
      <c r="S145" s="360">
        <v>0</v>
      </c>
      <c r="T145" s="361"/>
      <c r="V145" s="363">
        <v>1854</v>
      </c>
      <c r="W145" s="360"/>
      <c r="X145" s="363">
        <v>870</v>
      </c>
      <c r="Y145" s="360"/>
      <c r="Z145" s="363">
        <v>1502.4166666666667</v>
      </c>
      <c r="AA145" s="360"/>
      <c r="AB145" s="359">
        <v>4226.416666666667</v>
      </c>
      <c r="AC145" s="360">
        <v>0</v>
      </c>
      <c r="AD145" s="363">
        <v>1596</v>
      </c>
      <c r="AE145" s="360"/>
      <c r="AF145" s="363">
        <v>225</v>
      </c>
      <c r="AG145" s="360"/>
      <c r="AH145" s="363">
        <v>1169.6666666666665</v>
      </c>
      <c r="AI145" s="360"/>
      <c r="AJ145" s="363">
        <v>2990.6666666666665</v>
      </c>
      <c r="AK145" s="361">
        <v>0</v>
      </c>
      <c r="AL145" s="363">
        <v>7217.0833333333339</v>
      </c>
      <c r="AM145" s="361">
        <v>0</v>
      </c>
      <c r="AO145" s="363">
        <v>828</v>
      </c>
      <c r="AP145" s="360"/>
      <c r="AQ145" s="363">
        <v>375</v>
      </c>
      <c r="AR145" s="360"/>
      <c r="AS145" s="363">
        <v>695.75</v>
      </c>
      <c r="AT145" s="360"/>
      <c r="AU145" s="363">
        <v>1898.75</v>
      </c>
      <c r="AV145" s="361">
        <v>0</v>
      </c>
    </row>
    <row r="146" spans="2:48" x14ac:dyDescent="0.25">
      <c r="B146" s="364" t="s">
        <v>486</v>
      </c>
      <c r="C146" t="s">
        <v>485</v>
      </c>
      <c r="D146" t="s">
        <v>974</v>
      </c>
      <c r="E146" s="358">
        <v>6024</v>
      </c>
      <c r="F146" s="359">
        <v>1476</v>
      </c>
      <c r="G146" s="360"/>
      <c r="H146" s="361"/>
      <c r="I146" s="358">
        <v>3831.4285714285711</v>
      </c>
      <c r="J146" s="359">
        <v>720</v>
      </c>
      <c r="K146" s="360"/>
      <c r="L146" s="361"/>
      <c r="M146" s="358">
        <v>4141.5</v>
      </c>
      <c r="N146" s="359">
        <v>924</v>
      </c>
      <c r="O146" s="360"/>
      <c r="P146" s="361"/>
      <c r="Q146" s="358">
        <v>13996.928571428571</v>
      </c>
      <c r="R146" s="362">
        <v>3120</v>
      </c>
      <c r="S146" s="360">
        <v>0</v>
      </c>
      <c r="T146" s="361"/>
      <c r="V146" s="363">
        <v>5208</v>
      </c>
      <c r="W146" s="360"/>
      <c r="X146" s="363">
        <v>3323.5714285714289</v>
      </c>
      <c r="Y146" s="360"/>
      <c r="Z146" s="363">
        <v>3819.75</v>
      </c>
      <c r="AA146" s="360"/>
      <c r="AB146" s="359">
        <v>12351.321428571429</v>
      </c>
      <c r="AC146" s="360">
        <v>0</v>
      </c>
      <c r="AD146" s="363">
        <v>900</v>
      </c>
      <c r="AE146" s="360"/>
      <c r="AF146" s="363">
        <v>0</v>
      </c>
      <c r="AG146" s="360"/>
      <c r="AH146" s="363">
        <v>605</v>
      </c>
      <c r="AI146" s="360"/>
      <c r="AJ146" s="363">
        <v>1505</v>
      </c>
      <c r="AK146" s="361">
        <v>0</v>
      </c>
      <c r="AL146" s="363">
        <v>13856.321428571429</v>
      </c>
      <c r="AM146" s="361">
        <v>0</v>
      </c>
      <c r="AO146" s="363">
        <v>1164</v>
      </c>
      <c r="AP146" s="360"/>
      <c r="AQ146" s="363">
        <v>1092.8571428571429</v>
      </c>
      <c r="AR146" s="360"/>
      <c r="AS146" s="363">
        <v>1067</v>
      </c>
      <c r="AT146" s="360"/>
      <c r="AU146" s="363">
        <v>3323.8571428571431</v>
      </c>
      <c r="AV146" s="361">
        <v>0</v>
      </c>
    </row>
    <row r="147" spans="2:48" x14ac:dyDescent="0.25">
      <c r="B147" s="364" t="s">
        <v>488</v>
      </c>
      <c r="C147" t="s">
        <v>487</v>
      </c>
      <c r="D147" t="s">
        <v>975</v>
      </c>
      <c r="E147" s="358">
        <v>3180</v>
      </c>
      <c r="F147" s="359">
        <v>180</v>
      </c>
      <c r="G147" s="360"/>
      <c r="H147" s="361"/>
      <c r="I147" s="358">
        <v>3754.2857142857142</v>
      </c>
      <c r="J147" s="359">
        <v>225</v>
      </c>
      <c r="K147" s="360"/>
      <c r="L147" s="361"/>
      <c r="M147" s="358">
        <v>1673.8333333333333</v>
      </c>
      <c r="N147" s="359">
        <v>151.25</v>
      </c>
      <c r="O147" s="360"/>
      <c r="P147" s="361"/>
      <c r="Q147" s="358">
        <v>8608.1190476190477</v>
      </c>
      <c r="R147" s="362">
        <v>556.25</v>
      </c>
      <c r="S147" s="360">
        <v>0</v>
      </c>
      <c r="T147" s="361"/>
      <c r="V147" s="363">
        <v>1440</v>
      </c>
      <c r="W147" s="360"/>
      <c r="X147" s="363">
        <v>2115</v>
      </c>
      <c r="Y147" s="360"/>
      <c r="Z147" s="363">
        <v>756.25</v>
      </c>
      <c r="AA147" s="360"/>
      <c r="AB147" s="359">
        <v>4311.25</v>
      </c>
      <c r="AC147" s="360">
        <v>0</v>
      </c>
      <c r="AD147" s="363">
        <v>1848</v>
      </c>
      <c r="AE147" s="360"/>
      <c r="AF147" s="363">
        <v>1260</v>
      </c>
      <c r="AG147" s="360"/>
      <c r="AH147" s="363">
        <v>1008.3333333333334</v>
      </c>
      <c r="AI147" s="360"/>
      <c r="AJ147" s="363">
        <v>4116.333333333333</v>
      </c>
      <c r="AK147" s="361">
        <v>0</v>
      </c>
      <c r="AL147" s="363">
        <v>8427.5833333333321</v>
      </c>
      <c r="AM147" s="361">
        <v>0</v>
      </c>
      <c r="AO147" s="363">
        <v>2640</v>
      </c>
      <c r="AP147" s="360"/>
      <c r="AQ147" s="363">
        <v>2610</v>
      </c>
      <c r="AR147" s="360"/>
      <c r="AS147" s="363">
        <v>1220.0833333333335</v>
      </c>
      <c r="AT147" s="360"/>
      <c r="AU147" s="363">
        <v>6470.0833333333339</v>
      </c>
      <c r="AV147" s="361">
        <v>0</v>
      </c>
    </row>
    <row r="148" spans="2:48" x14ac:dyDescent="0.25">
      <c r="B148" s="364" t="s">
        <v>492</v>
      </c>
      <c r="C148" t="s">
        <v>491</v>
      </c>
      <c r="D148" t="s">
        <v>976</v>
      </c>
      <c r="E148" s="358">
        <v>4207.5</v>
      </c>
      <c r="F148" s="359">
        <v>1476</v>
      </c>
      <c r="G148" s="360"/>
      <c r="H148" s="361"/>
      <c r="I148" s="358">
        <v>4377.8571428571422</v>
      </c>
      <c r="J148" s="359">
        <v>1620</v>
      </c>
      <c r="K148" s="360"/>
      <c r="L148" s="361"/>
      <c r="M148" s="358">
        <v>3047</v>
      </c>
      <c r="N148" s="359">
        <v>1391.5</v>
      </c>
      <c r="O148" s="360"/>
      <c r="P148" s="361"/>
      <c r="Q148" s="358">
        <v>11632.357142857141</v>
      </c>
      <c r="R148" s="362">
        <v>4487.5</v>
      </c>
      <c r="S148" s="360">
        <v>0</v>
      </c>
      <c r="T148" s="361"/>
      <c r="V148" s="363">
        <v>180</v>
      </c>
      <c r="W148" s="360"/>
      <c r="X148" s="363">
        <v>642.85714285714278</v>
      </c>
      <c r="Y148" s="360"/>
      <c r="Z148" s="363">
        <v>151.25</v>
      </c>
      <c r="AA148" s="360"/>
      <c r="AB148" s="359">
        <v>974.10714285714278</v>
      </c>
      <c r="AC148" s="360">
        <v>0</v>
      </c>
      <c r="AD148" s="363">
        <v>1116</v>
      </c>
      <c r="AE148" s="360"/>
      <c r="AF148" s="363">
        <v>1260</v>
      </c>
      <c r="AG148" s="360"/>
      <c r="AH148" s="363">
        <v>937.75</v>
      </c>
      <c r="AI148" s="360"/>
      <c r="AJ148" s="363">
        <v>3313.75</v>
      </c>
      <c r="AK148" s="361">
        <v>0</v>
      </c>
      <c r="AL148" s="363">
        <v>4287.8571428571431</v>
      </c>
      <c r="AM148" s="361">
        <v>0</v>
      </c>
      <c r="AO148" s="363">
        <v>900</v>
      </c>
      <c r="AP148" s="360"/>
      <c r="AQ148" s="363">
        <v>225</v>
      </c>
      <c r="AR148" s="360"/>
      <c r="AS148" s="363">
        <v>756.25</v>
      </c>
      <c r="AT148" s="360"/>
      <c r="AU148" s="363">
        <v>1881.25</v>
      </c>
      <c r="AV148" s="361">
        <v>0</v>
      </c>
    </row>
    <row r="149" spans="2:48" x14ac:dyDescent="0.25">
      <c r="B149" s="364" t="s">
        <v>494</v>
      </c>
      <c r="C149" t="s">
        <v>493</v>
      </c>
      <c r="D149" t="s">
        <v>977</v>
      </c>
      <c r="E149" s="358">
        <v>5580</v>
      </c>
      <c r="F149" s="359">
        <v>2700</v>
      </c>
      <c r="G149" s="360"/>
      <c r="H149" s="361"/>
      <c r="I149" s="358">
        <v>2876.7857142857142</v>
      </c>
      <c r="J149" s="359">
        <v>900</v>
      </c>
      <c r="K149" s="360"/>
      <c r="L149" s="361"/>
      <c r="M149" s="358">
        <v>3630</v>
      </c>
      <c r="N149" s="359">
        <v>1512.5</v>
      </c>
      <c r="O149" s="360"/>
      <c r="P149" s="361"/>
      <c r="Q149" s="358">
        <v>12086.785714285714</v>
      </c>
      <c r="R149" s="362">
        <v>5112.5</v>
      </c>
      <c r="S149" s="360">
        <v>0</v>
      </c>
      <c r="T149" s="361"/>
      <c r="V149" s="363">
        <v>2160</v>
      </c>
      <c r="W149" s="360"/>
      <c r="X149" s="363">
        <v>401.78571428571428</v>
      </c>
      <c r="Y149" s="360"/>
      <c r="Z149" s="363">
        <v>1512.5</v>
      </c>
      <c r="AA149" s="360"/>
      <c r="AB149" s="359">
        <v>4074.2857142857142</v>
      </c>
      <c r="AC149" s="360">
        <v>0</v>
      </c>
      <c r="AD149" s="363">
        <v>3060</v>
      </c>
      <c r="AE149" s="360"/>
      <c r="AF149" s="363">
        <v>2025</v>
      </c>
      <c r="AG149" s="360"/>
      <c r="AH149" s="363">
        <v>1512.5</v>
      </c>
      <c r="AI149" s="360"/>
      <c r="AJ149" s="363">
        <v>6597.5</v>
      </c>
      <c r="AK149" s="361">
        <v>0</v>
      </c>
      <c r="AL149" s="363">
        <v>10671.785714285714</v>
      </c>
      <c r="AM149" s="361">
        <v>0</v>
      </c>
      <c r="AO149" s="363">
        <v>180</v>
      </c>
      <c r="AP149" s="360"/>
      <c r="AQ149" s="363">
        <v>0</v>
      </c>
      <c r="AR149" s="360"/>
      <c r="AS149" s="363">
        <v>151.25</v>
      </c>
      <c r="AT149" s="360"/>
      <c r="AU149" s="363">
        <v>331.25</v>
      </c>
      <c r="AV149" s="361">
        <v>0</v>
      </c>
    </row>
    <row r="150" spans="2:48" x14ac:dyDescent="0.25">
      <c r="B150" s="364" t="s">
        <v>495</v>
      </c>
      <c r="C150">
        <v>206106</v>
      </c>
      <c r="D150" t="s">
        <v>978</v>
      </c>
      <c r="E150" s="358">
        <v>4229.8000000000011</v>
      </c>
      <c r="F150" s="359">
        <v>3224.3</v>
      </c>
      <c r="G150" s="360"/>
      <c r="H150" s="361"/>
      <c r="I150" s="358">
        <v>2571.4285714285711</v>
      </c>
      <c r="J150" s="359">
        <v>1868.5714285714284</v>
      </c>
      <c r="K150" s="360"/>
      <c r="L150" s="361"/>
      <c r="M150" s="358">
        <v>2671.625</v>
      </c>
      <c r="N150" s="359">
        <v>1641.5666666666668</v>
      </c>
      <c r="O150" s="360"/>
      <c r="P150" s="361"/>
      <c r="Q150" s="358">
        <v>9472.8535714285717</v>
      </c>
      <c r="R150" s="362">
        <v>6734.4380952380952</v>
      </c>
      <c r="S150" s="360">
        <v>0</v>
      </c>
      <c r="T150" s="361"/>
      <c r="V150" s="363">
        <v>1691.8400000000001</v>
      </c>
      <c r="W150" s="360"/>
      <c r="X150" s="363">
        <v>480</v>
      </c>
      <c r="Y150" s="360"/>
      <c r="Z150" s="363">
        <v>582.32166666666672</v>
      </c>
      <c r="AA150" s="360"/>
      <c r="AB150" s="359">
        <v>2754.1616666666669</v>
      </c>
      <c r="AC150" s="360">
        <v>0</v>
      </c>
      <c r="AD150" s="363">
        <v>2017.0400000000002</v>
      </c>
      <c r="AE150" s="360"/>
      <c r="AF150" s="363">
        <v>1011.4285714285714</v>
      </c>
      <c r="AG150" s="360"/>
      <c r="AH150" s="363">
        <v>1438.4791666666667</v>
      </c>
      <c r="AI150" s="360"/>
      <c r="AJ150" s="363">
        <v>4466.9477380952385</v>
      </c>
      <c r="AK150" s="361">
        <v>0</v>
      </c>
      <c r="AL150" s="363">
        <v>7221.1094047619054</v>
      </c>
      <c r="AM150" s="361">
        <v>0</v>
      </c>
      <c r="AO150" s="363">
        <v>190</v>
      </c>
      <c r="AP150" s="360"/>
      <c r="AQ150" s="363">
        <v>263.57142857142861</v>
      </c>
      <c r="AR150" s="360"/>
      <c r="AS150" s="363">
        <v>275</v>
      </c>
      <c r="AT150" s="360"/>
      <c r="AU150" s="363">
        <v>728.57142857142867</v>
      </c>
      <c r="AV150" s="361">
        <v>0</v>
      </c>
    </row>
    <row r="151" spans="2:48" x14ac:dyDescent="0.25">
      <c r="B151" s="364" t="s">
        <v>499</v>
      </c>
      <c r="C151" t="s">
        <v>498</v>
      </c>
      <c r="D151" t="s">
        <v>979</v>
      </c>
      <c r="E151" s="358">
        <v>7200</v>
      </c>
      <c r="F151" s="359">
        <v>1080</v>
      </c>
      <c r="G151" s="360"/>
      <c r="H151" s="361"/>
      <c r="I151" s="358">
        <v>3776.7857142857142</v>
      </c>
      <c r="J151" s="359">
        <v>900</v>
      </c>
      <c r="K151" s="360"/>
      <c r="L151" s="361"/>
      <c r="M151" s="358">
        <v>4413.75</v>
      </c>
      <c r="N151" s="359">
        <v>242</v>
      </c>
      <c r="O151" s="360"/>
      <c r="P151" s="361"/>
      <c r="Q151" s="358">
        <v>15390.535714285714</v>
      </c>
      <c r="R151" s="362">
        <v>2222</v>
      </c>
      <c r="S151" s="360">
        <v>0</v>
      </c>
      <c r="T151" s="361"/>
      <c r="V151" s="363">
        <v>4530</v>
      </c>
      <c r="W151" s="360"/>
      <c r="X151" s="363">
        <v>1976.7857142857142</v>
      </c>
      <c r="Y151" s="360"/>
      <c r="Z151" s="363">
        <v>2420</v>
      </c>
      <c r="AA151" s="360"/>
      <c r="AB151" s="359">
        <v>8926.7857142857138</v>
      </c>
      <c r="AC151" s="360">
        <v>0</v>
      </c>
      <c r="AD151" s="363">
        <v>540</v>
      </c>
      <c r="AE151" s="360"/>
      <c r="AF151" s="363">
        <v>450</v>
      </c>
      <c r="AG151" s="360"/>
      <c r="AH151" s="363">
        <v>605</v>
      </c>
      <c r="AI151" s="360"/>
      <c r="AJ151" s="363">
        <v>1595</v>
      </c>
      <c r="AK151" s="361">
        <v>0</v>
      </c>
      <c r="AL151" s="363">
        <v>10521.785714285714</v>
      </c>
      <c r="AM151" s="361">
        <v>0</v>
      </c>
      <c r="AO151" s="363">
        <v>3720</v>
      </c>
      <c r="AP151" s="360"/>
      <c r="AQ151" s="363">
        <v>2651.7857142857142</v>
      </c>
      <c r="AR151" s="360"/>
      <c r="AS151" s="363">
        <v>151.25</v>
      </c>
      <c r="AT151" s="360"/>
      <c r="AU151" s="363">
        <v>6523.0357142857138</v>
      </c>
      <c r="AV151" s="361">
        <v>0</v>
      </c>
    </row>
    <row r="152" spans="2:48" x14ac:dyDescent="0.25">
      <c r="B152" s="364" t="s">
        <v>501</v>
      </c>
      <c r="C152" t="s">
        <v>500</v>
      </c>
      <c r="D152" t="s">
        <v>980</v>
      </c>
      <c r="E152" s="358">
        <v>2880</v>
      </c>
      <c r="F152" s="359">
        <v>1080</v>
      </c>
      <c r="G152" s="360"/>
      <c r="H152" s="361"/>
      <c r="I152" s="358">
        <v>630</v>
      </c>
      <c r="J152" s="359">
        <v>225</v>
      </c>
      <c r="K152" s="360"/>
      <c r="L152" s="361"/>
      <c r="M152" s="358">
        <v>1938.75</v>
      </c>
      <c r="N152" s="359">
        <v>907.5</v>
      </c>
      <c r="O152" s="360"/>
      <c r="P152" s="361"/>
      <c r="Q152" s="358">
        <v>5448.75</v>
      </c>
      <c r="R152" s="362">
        <v>2212.5</v>
      </c>
      <c r="S152" s="360">
        <v>0</v>
      </c>
      <c r="T152" s="361"/>
      <c r="V152" s="363">
        <v>0</v>
      </c>
      <c r="W152" s="360"/>
      <c r="X152" s="363">
        <v>0</v>
      </c>
      <c r="Y152" s="360"/>
      <c r="Z152" s="363">
        <v>0</v>
      </c>
      <c r="AA152" s="360"/>
      <c r="AB152" s="359">
        <v>0</v>
      </c>
      <c r="AC152" s="360">
        <v>0</v>
      </c>
      <c r="AD152" s="363">
        <v>1620</v>
      </c>
      <c r="AE152" s="360"/>
      <c r="AF152" s="363">
        <v>405</v>
      </c>
      <c r="AG152" s="360"/>
      <c r="AH152" s="363">
        <v>1210</v>
      </c>
      <c r="AI152" s="360"/>
      <c r="AJ152" s="363">
        <v>3235</v>
      </c>
      <c r="AK152" s="361">
        <v>0</v>
      </c>
      <c r="AL152" s="363">
        <v>3235</v>
      </c>
      <c r="AM152" s="361">
        <v>0</v>
      </c>
      <c r="AO152" s="363">
        <v>0</v>
      </c>
      <c r="AP152" s="360"/>
      <c r="AQ152" s="363">
        <v>0</v>
      </c>
      <c r="AR152" s="360"/>
      <c r="AS152" s="363">
        <v>0</v>
      </c>
      <c r="AT152" s="360"/>
      <c r="AU152" s="363">
        <v>0</v>
      </c>
      <c r="AV152" s="361">
        <v>0</v>
      </c>
    </row>
    <row r="153" spans="2:48" x14ac:dyDescent="0.25">
      <c r="B153" s="364" t="s">
        <v>503</v>
      </c>
      <c r="C153" t="s">
        <v>502</v>
      </c>
      <c r="D153" t="s">
        <v>981</v>
      </c>
      <c r="E153" s="358">
        <v>4985.55</v>
      </c>
      <c r="F153" s="359">
        <v>2286.8000000000002</v>
      </c>
      <c r="G153" s="360"/>
      <c r="H153" s="361"/>
      <c r="I153" s="358">
        <v>3525</v>
      </c>
      <c r="J153" s="359">
        <v>2481.4285714285711</v>
      </c>
      <c r="K153" s="360"/>
      <c r="L153" s="361"/>
      <c r="M153" s="358">
        <v>2605.625</v>
      </c>
      <c r="N153" s="359">
        <v>1361.25</v>
      </c>
      <c r="O153" s="360"/>
      <c r="P153" s="361"/>
      <c r="Q153" s="358">
        <v>11116.174999999999</v>
      </c>
      <c r="R153" s="362">
        <v>6129.4785714285717</v>
      </c>
      <c r="S153" s="360">
        <v>0</v>
      </c>
      <c r="T153" s="361"/>
      <c r="V153" s="363">
        <v>2682.2</v>
      </c>
      <c r="W153" s="360"/>
      <c r="X153" s="363">
        <v>1429.2857142857144</v>
      </c>
      <c r="Y153" s="360"/>
      <c r="Z153" s="363">
        <v>1621.5833333333333</v>
      </c>
      <c r="AA153" s="360"/>
      <c r="AB153" s="359">
        <v>5733.0690476190475</v>
      </c>
      <c r="AC153" s="360">
        <v>0</v>
      </c>
      <c r="AD153" s="363">
        <v>2023</v>
      </c>
      <c r="AE153" s="360"/>
      <c r="AF153" s="363">
        <v>1718.5714285714284</v>
      </c>
      <c r="AG153" s="360"/>
      <c r="AH153" s="363">
        <v>998.25</v>
      </c>
      <c r="AI153" s="360"/>
      <c r="AJ153" s="363">
        <v>4739.8214285714284</v>
      </c>
      <c r="AK153" s="361">
        <v>0</v>
      </c>
      <c r="AL153" s="363">
        <v>10472.890476190476</v>
      </c>
      <c r="AM153" s="361">
        <v>0</v>
      </c>
      <c r="AO153" s="363">
        <v>510</v>
      </c>
      <c r="AP153" s="360"/>
      <c r="AQ153" s="363">
        <v>593.57142857142856</v>
      </c>
      <c r="AR153" s="360"/>
      <c r="AS153" s="363">
        <v>428.54166666666669</v>
      </c>
      <c r="AT153" s="360"/>
      <c r="AU153" s="363">
        <v>1532.1130952380952</v>
      </c>
      <c r="AV153" s="361">
        <v>0</v>
      </c>
    </row>
    <row r="154" spans="2:48" x14ac:dyDescent="0.25">
      <c r="B154" s="364" t="s">
        <v>982</v>
      </c>
      <c r="C154" t="s">
        <v>983</v>
      </c>
      <c r="D154" t="s">
        <v>983</v>
      </c>
      <c r="E154" s="358">
        <v>8866.83</v>
      </c>
      <c r="F154" s="359">
        <v>4524.8200000000006</v>
      </c>
      <c r="G154" s="360"/>
      <c r="H154" s="361"/>
      <c r="I154" s="358">
        <v>2884.1200000000008</v>
      </c>
      <c r="J154" s="359">
        <v>1665.0800000000004</v>
      </c>
      <c r="K154" s="360"/>
      <c r="L154" s="361"/>
      <c r="M154" s="358">
        <v>0</v>
      </c>
      <c r="N154" s="359">
        <v>0</v>
      </c>
      <c r="O154" s="360"/>
      <c r="P154" s="361"/>
      <c r="Q154" s="358">
        <v>11750.95</v>
      </c>
      <c r="R154" s="362">
        <v>6189.9000000000015</v>
      </c>
      <c r="S154" s="360">
        <v>0</v>
      </c>
      <c r="T154" s="361"/>
      <c r="V154" s="363">
        <v>1421</v>
      </c>
      <c r="W154" s="360"/>
      <c r="X154" s="363">
        <v>556.88</v>
      </c>
      <c r="Y154" s="360"/>
      <c r="Z154" s="363">
        <v>0</v>
      </c>
      <c r="AA154" s="360"/>
      <c r="AB154" s="359">
        <v>1977.88</v>
      </c>
      <c r="AC154" s="360">
        <v>0</v>
      </c>
      <c r="AD154" s="363">
        <v>2252.8199999999997</v>
      </c>
      <c r="AE154" s="360"/>
      <c r="AF154" s="363">
        <v>178.88</v>
      </c>
      <c r="AG154" s="360"/>
      <c r="AH154" s="363">
        <v>0</v>
      </c>
      <c r="AI154" s="360"/>
      <c r="AJ154" s="363">
        <v>2431.6999999999998</v>
      </c>
      <c r="AK154" s="361">
        <v>0</v>
      </c>
      <c r="AL154" s="363">
        <v>4409.58</v>
      </c>
      <c r="AM154" s="361">
        <v>0</v>
      </c>
      <c r="AO154" s="363">
        <v>0</v>
      </c>
      <c r="AP154" s="360"/>
      <c r="AQ154" s="363">
        <v>0</v>
      </c>
      <c r="AR154" s="360"/>
      <c r="AS154" s="363">
        <v>0</v>
      </c>
      <c r="AT154" s="360"/>
      <c r="AU154" s="363">
        <v>0</v>
      </c>
      <c r="AV154" s="361">
        <v>0</v>
      </c>
    </row>
    <row r="155" spans="2:48" x14ac:dyDescent="0.25">
      <c r="B155" s="364" t="s">
        <v>504</v>
      </c>
      <c r="C155">
        <v>206134</v>
      </c>
      <c r="D155" t="s">
        <v>984</v>
      </c>
      <c r="E155" s="358">
        <v>4824</v>
      </c>
      <c r="F155" s="359">
        <v>1044</v>
      </c>
      <c r="G155" s="360"/>
      <c r="H155" s="361"/>
      <c r="I155" s="358">
        <v>4410</v>
      </c>
      <c r="J155" s="359">
        <v>765</v>
      </c>
      <c r="K155" s="360"/>
      <c r="L155" s="361"/>
      <c r="M155" s="358">
        <v>3690.5</v>
      </c>
      <c r="N155" s="359">
        <v>847</v>
      </c>
      <c r="O155" s="360"/>
      <c r="P155" s="361"/>
      <c r="Q155" s="358">
        <v>12924.5</v>
      </c>
      <c r="R155" s="362">
        <v>2656</v>
      </c>
      <c r="S155" s="360">
        <v>0</v>
      </c>
      <c r="T155" s="361"/>
      <c r="V155" s="363">
        <v>504</v>
      </c>
      <c r="W155" s="360"/>
      <c r="X155" s="363">
        <v>405</v>
      </c>
      <c r="Y155" s="360"/>
      <c r="Z155" s="363">
        <v>423.5</v>
      </c>
      <c r="AA155" s="360"/>
      <c r="AB155" s="359">
        <v>1332.5</v>
      </c>
      <c r="AC155" s="360">
        <v>0</v>
      </c>
      <c r="AD155" s="363">
        <v>792</v>
      </c>
      <c r="AE155" s="360"/>
      <c r="AF155" s="363">
        <v>675</v>
      </c>
      <c r="AG155" s="360"/>
      <c r="AH155" s="363">
        <v>816.75</v>
      </c>
      <c r="AI155" s="360"/>
      <c r="AJ155" s="363">
        <v>2283.75</v>
      </c>
      <c r="AK155" s="361">
        <v>0</v>
      </c>
      <c r="AL155" s="363">
        <v>3616.25</v>
      </c>
      <c r="AM155" s="361">
        <v>0</v>
      </c>
      <c r="AO155" s="363">
        <v>1080</v>
      </c>
      <c r="AP155" s="360"/>
      <c r="AQ155" s="363">
        <v>630</v>
      </c>
      <c r="AR155" s="360"/>
      <c r="AS155" s="363">
        <v>423.5</v>
      </c>
      <c r="AT155" s="360"/>
      <c r="AU155" s="363">
        <v>2133.5</v>
      </c>
      <c r="AV155" s="361">
        <v>0</v>
      </c>
    </row>
    <row r="156" spans="2:48" x14ac:dyDescent="0.25">
      <c r="B156" s="364" t="s">
        <v>985</v>
      </c>
      <c r="C156" t="s">
        <v>986</v>
      </c>
      <c r="D156" t="s">
        <v>986</v>
      </c>
      <c r="E156" s="358">
        <v>0</v>
      </c>
      <c r="F156" s="359">
        <v>0</v>
      </c>
      <c r="G156" s="360"/>
      <c r="H156" s="361"/>
      <c r="I156" s="358">
        <v>0</v>
      </c>
      <c r="J156" s="359">
        <v>0</v>
      </c>
      <c r="K156" s="360"/>
      <c r="L156" s="361"/>
      <c r="M156" s="358">
        <v>5607.1800000000012</v>
      </c>
      <c r="N156" s="359">
        <v>2779.5800000000008</v>
      </c>
      <c r="O156" s="360"/>
      <c r="P156" s="361"/>
      <c r="Q156" s="358">
        <v>5607.1800000000012</v>
      </c>
      <c r="R156" s="362">
        <v>2779.5800000000008</v>
      </c>
      <c r="S156" s="360">
        <v>0</v>
      </c>
      <c r="T156" s="361"/>
      <c r="V156" s="363">
        <v>0</v>
      </c>
      <c r="W156" s="360"/>
      <c r="X156" s="363">
        <v>0</v>
      </c>
      <c r="Y156" s="360"/>
      <c r="Z156" s="363">
        <v>1632.5</v>
      </c>
      <c r="AA156" s="360"/>
      <c r="AB156" s="359">
        <v>1632.5</v>
      </c>
      <c r="AC156" s="360">
        <v>0</v>
      </c>
      <c r="AD156" s="363">
        <v>0</v>
      </c>
      <c r="AE156" s="360"/>
      <c r="AF156" s="363">
        <v>0</v>
      </c>
      <c r="AG156" s="360"/>
      <c r="AH156" s="363">
        <v>1794.42</v>
      </c>
      <c r="AI156" s="360"/>
      <c r="AJ156" s="363">
        <v>1794.42</v>
      </c>
      <c r="AK156" s="361">
        <v>0</v>
      </c>
      <c r="AL156" s="363">
        <v>3426.92</v>
      </c>
      <c r="AM156" s="361">
        <v>0</v>
      </c>
      <c r="AO156" s="363">
        <v>0</v>
      </c>
      <c r="AP156" s="360"/>
      <c r="AQ156" s="363">
        <v>0</v>
      </c>
      <c r="AR156" s="360"/>
      <c r="AS156" s="363">
        <v>0</v>
      </c>
      <c r="AT156" s="360"/>
      <c r="AU156" s="363">
        <v>0</v>
      </c>
      <c r="AV156" s="361">
        <v>0</v>
      </c>
    </row>
    <row r="157" spans="2:48" x14ac:dyDescent="0.25">
      <c r="B157" s="364" t="s">
        <v>507</v>
      </c>
      <c r="C157">
        <v>206109</v>
      </c>
      <c r="D157" t="s">
        <v>987</v>
      </c>
      <c r="E157" s="358">
        <v>6081.5999999999976</v>
      </c>
      <c r="F157" s="359">
        <v>3028.64</v>
      </c>
      <c r="G157" s="360"/>
      <c r="H157" s="361"/>
      <c r="I157" s="358">
        <v>3581.014285714286</v>
      </c>
      <c r="J157" s="359">
        <v>1979.9571428571428</v>
      </c>
      <c r="K157" s="360"/>
      <c r="L157" s="361"/>
      <c r="M157" s="358">
        <v>4150.3</v>
      </c>
      <c r="N157" s="359">
        <v>2426.9666666666667</v>
      </c>
      <c r="O157" s="360"/>
      <c r="P157" s="361"/>
      <c r="Q157" s="358">
        <v>13812.914285714283</v>
      </c>
      <c r="R157" s="362">
        <v>7435.5638095238101</v>
      </c>
      <c r="S157" s="360">
        <v>0</v>
      </c>
      <c r="T157" s="361"/>
      <c r="V157" s="363">
        <v>1476.48</v>
      </c>
      <c r="W157" s="360"/>
      <c r="X157" s="363">
        <v>225</v>
      </c>
      <c r="Y157" s="360"/>
      <c r="Z157" s="363">
        <v>797.5</v>
      </c>
      <c r="AA157" s="360"/>
      <c r="AB157" s="359">
        <v>2498.98</v>
      </c>
      <c r="AC157" s="360">
        <v>0</v>
      </c>
      <c r="AD157" s="363">
        <v>960</v>
      </c>
      <c r="AE157" s="360"/>
      <c r="AF157" s="363">
        <v>675</v>
      </c>
      <c r="AG157" s="360"/>
      <c r="AH157" s="363">
        <v>1410.5666666666666</v>
      </c>
      <c r="AI157" s="360"/>
      <c r="AJ157" s="363">
        <v>3045.5666666666666</v>
      </c>
      <c r="AK157" s="361">
        <v>0</v>
      </c>
      <c r="AL157" s="363">
        <v>5544.5466666666671</v>
      </c>
      <c r="AM157" s="361">
        <v>0</v>
      </c>
      <c r="AO157" s="363">
        <v>0</v>
      </c>
      <c r="AP157" s="360"/>
      <c r="AQ157" s="363">
        <v>0</v>
      </c>
      <c r="AR157" s="360"/>
      <c r="AS157" s="363">
        <v>0</v>
      </c>
      <c r="AT157" s="360"/>
      <c r="AU157" s="363">
        <v>0</v>
      </c>
      <c r="AV157" s="361">
        <v>0</v>
      </c>
    </row>
    <row r="158" spans="2:48" x14ac:dyDescent="0.25">
      <c r="B158" s="364" t="s">
        <v>517</v>
      </c>
      <c r="C158" t="s">
        <v>516</v>
      </c>
      <c r="D158" t="s">
        <v>988</v>
      </c>
      <c r="E158" s="358">
        <v>4689</v>
      </c>
      <c r="F158" s="359">
        <v>1800</v>
      </c>
      <c r="G158" s="360"/>
      <c r="H158" s="361"/>
      <c r="I158" s="358">
        <v>4050</v>
      </c>
      <c r="J158" s="359">
        <v>450</v>
      </c>
      <c r="K158" s="360"/>
      <c r="L158" s="361"/>
      <c r="M158" s="358">
        <v>3327.5</v>
      </c>
      <c r="N158" s="359">
        <v>1210</v>
      </c>
      <c r="O158" s="360"/>
      <c r="P158" s="361"/>
      <c r="Q158" s="358">
        <v>12066.5</v>
      </c>
      <c r="R158" s="362">
        <v>3460</v>
      </c>
      <c r="S158" s="360">
        <v>0</v>
      </c>
      <c r="T158" s="361"/>
      <c r="V158" s="363">
        <v>4860</v>
      </c>
      <c r="W158" s="360"/>
      <c r="X158" s="363">
        <v>2475</v>
      </c>
      <c r="Y158" s="360"/>
      <c r="Z158" s="363">
        <v>3781.25</v>
      </c>
      <c r="AA158" s="360"/>
      <c r="AB158" s="359">
        <v>11116.25</v>
      </c>
      <c r="AC158" s="360">
        <v>0</v>
      </c>
      <c r="AD158" s="363">
        <v>1440</v>
      </c>
      <c r="AE158" s="360"/>
      <c r="AF158" s="363">
        <v>1125</v>
      </c>
      <c r="AG158" s="360"/>
      <c r="AH158" s="363">
        <v>605</v>
      </c>
      <c r="AI158" s="360"/>
      <c r="AJ158" s="363">
        <v>3170</v>
      </c>
      <c r="AK158" s="361">
        <v>0</v>
      </c>
      <c r="AL158" s="363">
        <v>14286.25</v>
      </c>
      <c r="AM158" s="361">
        <v>0</v>
      </c>
      <c r="AO158" s="363">
        <v>1260</v>
      </c>
      <c r="AP158" s="360"/>
      <c r="AQ158" s="363">
        <v>900</v>
      </c>
      <c r="AR158" s="360"/>
      <c r="AS158" s="363">
        <v>907.5</v>
      </c>
      <c r="AT158" s="360"/>
      <c r="AU158" s="363">
        <v>3067.5</v>
      </c>
      <c r="AV158" s="361">
        <v>0</v>
      </c>
    </row>
    <row r="159" spans="2:48" x14ac:dyDescent="0.25">
      <c r="B159" s="364" t="s">
        <v>510</v>
      </c>
      <c r="C159" t="s">
        <v>509</v>
      </c>
      <c r="D159" t="s">
        <v>989</v>
      </c>
      <c r="E159" s="358">
        <v>7031.25</v>
      </c>
      <c r="F159" s="359">
        <v>3294</v>
      </c>
      <c r="G159" s="360"/>
      <c r="H159" s="361"/>
      <c r="I159" s="358">
        <v>6075</v>
      </c>
      <c r="J159" s="359">
        <v>3067.5</v>
      </c>
      <c r="K159" s="360"/>
      <c r="L159" s="361"/>
      <c r="M159" s="358">
        <v>4537.5</v>
      </c>
      <c r="N159" s="359">
        <v>2500.666666666667</v>
      </c>
      <c r="O159" s="360"/>
      <c r="P159" s="361"/>
      <c r="Q159" s="358">
        <v>17643.75</v>
      </c>
      <c r="R159" s="362">
        <v>8862.1666666666679</v>
      </c>
      <c r="S159" s="360">
        <v>0</v>
      </c>
      <c r="T159" s="361"/>
      <c r="V159" s="363">
        <v>1620</v>
      </c>
      <c r="W159" s="360"/>
      <c r="X159" s="363">
        <v>1125</v>
      </c>
      <c r="Y159" s="360"/>
      <c r="Z159" s="363">
        <v>1058.75</v>
      </c>
      <c r="AA159" s="360"/>
      <c r="AB159" s="359">
        <v>3803.75</v>
      </c>
      <c r="AC159" s="360">
        <v>0</v>
      </c>
      <c r="AD159" s="363">
        <v>5634</v>
      </c>
      <c r="AE159" s="360"/>
      <c r="AF159" s="363">
        <v>3150</v>
      </c>
      <c r="AG159" s="360"/>
      <c r="AH159" s="363">
        <v>4315.6666666666661</v>
      </c>
      <c r="AI159" s="360"/>
      <c r="AJ159" s="363">
        <v>13099.666666666666</v>
      </c>
      <c r="AK159" s="361">
        <v>0</v>
      </c>
      <c r="AL159" s="363">
        <v>16903.416666666664</v>
      </c>
      <c r="AM159" s="361">
        <v>0</v>
      </c>
      <c r="AO159" s="363">
        <v>1260</v>
      </c>
      <c r="AP159" s="360"/>
      <c r="AQ159" s="363">
        <v>675</v>
      </c>
      <c r="AR159" s="360"/>
      <c r="AS159" s="363">
        <v>1058.75</v>
      </c>
      <c r="AT159" s="360"/>
      <c r="AU159" s="363">
        <v>2993.75</v>
      </c>
      <c r="AV159" s="361">
        <v>0</v>
      </c>
    </row>
    <row r="160" spans="2:48" x14ac:dyDescent="0.25">
      <c r="B160" s="364" t="s">
        <v>512</v>
      </c>
      <c r="C160" t="s">
        <v>511</v>
      </c>
      <c r="D160" t="s">
        <v>990</v>
      </c>
      <c r="E160" s="358">
        <v>3919.5</v>
      </c>
      <c r="F160" s="359">
        <v>2694</v>
      </c>
      <c r="G160" s="360"/>
      <c r="H160" s="361"/>
      <c r="I160" s="358">
        <v>3585</v>
      </c>
      <c r="J160" s="359">
        <v>2122.5</v>
      </c>
      <c r="K160" s="360"/>
      <c r="L160" s="361"/>
      <c r="M160" s="358">
        <v>2299</v>
      </c>
      <c r="N160" s="359">
        <v>1875.5</v>
      </c>
      <c r="O160" s="360"/>
      <c r="P160" s="361"/>
      <c r="Q160" s="358">
        <v>9803.5</v>
      </c>
      <c r="R160" s="362">
        <v>6692</v>
      </c>
      <c r="S160" s="360">
        <v>0</v>
      </c>
      <c r="T160" s="361"/>
      <c r="V160" s="363">
        <v>0</v>
      </c>
      <c r="W160" s="360"/>
      <c r="X160" s="363">
        <v>0</v>
      </c>
      <c r="Y160" s="360"/>
      <c r="Z160" s="363">
        <v>0</v>
      </c>
      <c r="AA160" s="360"/>
      <c r="AB160" s="359">
        <v>0</v>
      </c>
      <c r="AC160" s="360">
        <v>0</v>
      </c>
      <c r="AD160" s="363">
        <v>0</v>
      </c>
      <c r="AE160" s="360"/>
      <c r="AF160" s="363">
        <v>0</v>
      </c>
      <c r="AG160" s="360"/>
      <c r="AH160" s="363">
        <v>0</v>
      </c>
      <c r="AI160" s="360"/>
      <c r="AJ160" s="363">
        <v>0</v>
      </c>
      <c r="AK160" s="361">
        <v>0</v>
      </c>
      <c r="AL160" s="363">
        <v>0</v>
      </c>
      <c r="AM160" s="361">
        <v>0</v>
      </c>
      <c r="AO160" s="363">
        <v>0</v>
      </c>
      <c r="AP160" s="360"/>
      <c r="AQ160" s="363">
        <v>0</v>
      </c>
      <c r="AR160" s="360"/>
      <c r="AS160" s="363">
        <v>0</v>
      </c>
      <c r="AT160" s="360"/>
      <c r="AU160" s="363">
        <v>0</v>
      </c>
      <c r="AV160" s="361">
        <v>0</v>
      </c>
    </row>
    <row r="161" spans="2:48" x14ac:dyDescent="0.25">
      <c r="B161" s="364" t="s">
        <v>991</v>
      </c>
      <c r="C161" t="s">
        <v>992</v>
      </c>
      <c r="D161" t="s">
        <v>992</v>
      </c>
      <c r="E161" s="358">
        <v>2160</v>
      </c>
      <c r="F161" s="359">
        <v>1980</v>
      </c>
      <c r="G161" s="360"/>
      <c r="H161" s="361"/>
      <c r="I161" s="358">
        <v>2226</v>
      </c>
      <c r="J161" s="359">
        <v>1470</v>
      </c>
      <c r="K161" s="360"/>
      <c r="L161" s="361"/>
      <c r="M161" s="358">
        <v>1320</v>
      </c>
      <c r="N161" s="359">
        <v>1155</v>
      </c>
      <c r="O161" s="360"/>
      <c r="P161" s="361"/>
      <c r="Q161" s="358">
        <v>5706</v>
      </c>
      <c r="R161" s="362">
        <v>4605</v>
      </c>
      <c r="S161" s="360">
        <v>0</v>
      </c>
      <c r="T161" s="361"/>
      <c r="V161" s="363">
        <v>720</v>
      </c>
      <c r="W161" s="360"/>
      <c r="X161" s="363">
        <v>756</v>
      </c>
      <c r="Y161" s="360"/>
      <c r="Z161" s="363">
        <v>0</v>
      </c>
      <c r="AA161" s="360"/>
      <c r="AB161" s="359">
        <v>1476</v>
      </c>
      <c r="AC161" s="360">
        <v>0</v>
      </c>
      <c r="AD161" s="363">
        <v>2340</v>
      </c>
      <c r="AE161" s="360"/>
      <c r="AF161" s="363">
        <v>1050</v>
      </c>
      <c r="AG161" s="360"/>
      <c r="AH161" s="363">
        <v>1815</v>
      </c>
      <c r="AI161" s="360"/>
      <c r="AJ161" s="363">
        <v>5205</v>
      </c>
      <c r="AK161" s="361">
        <v>0</v>
      </c>
      <c r="AL161" s="363">
        <v>6681</v>
      </c>
      <c r="AM161" s="361">
        <v>0</v>
      </c>
      <c r="AO161" s="363">
        <v>2340</v>
      </c>
      <c r="AP161" s="360"/>
      <c r="AQ161" s="363">
        <v>1260</v>
      </c>
      <c r="AR161" s="360"/>
      <c r="AS161" s="363">
        <v>1815</v>
      </c>
      <c r="AT161" s="360"/>
      <c r="AU161" s="363">
        <v>5415</v>
      </c>
      <c r="AV161" s="361">
        <v>0</v>
      </c>
    </row>
    <row r="162" spans="2:48" x14ac:dyDescent="0.25">
      <c r="B162" s="364" t="s">
        <v>514</v>
      </c>
      <c r="C162" t="s">
        <v>513</v>
      </c>
      <c r="D162" t="s">
        <v>993</v>
      </c>
      <c r="E162" s="358">
        <v>6983.99</v>
      </c>
      <c r="F162" s="359">
        <v>1994.23</v>
      </c>
      <c r="G162" s="360"/>
      <c r="H162" s="361"/>
      <c r="I162" s="358">
        <v>5132.2071428571417</v>
      </c>
      <c r="J162" s="359">
        <v>1928.5714285714287</v>
      </c>
      <c r="K162" s="360"/>
      <c r="L162" s="361"/>
      <c r="M162" s="358">
        <v>5786.8066666666673</v>
      </c>
      <c r="N162" s="359">
        <v>1482.8916666666667</v>
      </c>
      <c r="O162" s="360"/>
      <c r="P162" s="361"/>
      <c r="Q162" s="358">
        <v>17903.003809523809</v>
      </c>
      <c r="R162" s="362">
        <v>5405.6930952380953</v>
      </c>
      <c r="S162" s="360">
        <v>0</v>
      </c>
      <c r="T162" s="361"/>
      <c r="V162" s="363">
        <v>884</v>
      </c>
      <c r="W162" s="360"/>
      <c r="X162" s="363">
        <v>900</v>
      </c>
      <c r="Y162" s="360"/>
      <c r="Z162" s="363">
        <v>665.5</v>
      </c>
      <c r="AA162" s="360"/>
      <c r="AB162" s="359">
        <v>2449.5</v>
      </c>
      <c r="AC162" s="360">
        <v>0</v>
      </c>
      <c r="AD162" s="363">
        <v>864</v>
      </c>
      <c r="AE162" s="360"/>
      <c r="AF162" s="363">
        <v>557.14285714285722</v>
      </c>
      <c r="AG162" s="360"/>
      <c r="AH162" s="363">
        <v>863.46333333333337</v>
      </c>
      <c r="AI162" s="360"/>
      <c r="AJ162" s="363">
        <v>2284.6061904761909</v>
      </c>
      <c r="AK162" s="361">
        <v>0</v>
      </c>
      <c r="AL162" s="363">
        <v>4734.1061904761909</v>
      </c>
      <c r="AM162" s="361">
        <v>0</v>
      </c>
      <c r="AO162" s="363">
        <v>2144</v>
      </c>
      <c r="AP162" s="360"/>
      <c r="AQ162" s="363">
        <v>825</v>
      </c>
      <c r="AR162" s="360"/>
      <c r="AS162" s="363">
        <v>1820.5</v>
      </c>
      <c r="AT162" s="360"/>
      <c r="AU162" s="363">
        <v>4789.5</v>
      </c>
      <c r="AV162" s="361">
        <v>0</v>
      </c>
    </row>
    <row r="163" spans="2:48" x14ac:dyDescent="0.25">
      <c r="B163" s="364" t="s">
        <v>515</v>
      </c>
      <c r="C163">
        <v>509197</v>
      </c>
      <c r="D163" t="s">
        <v>994</v>
      </c>
      <c r="E163" s="358">
        <v>4786.5200000000004</v>
      </c>
      <c r="F163" s="359">
        <v>3579.82</v>
      </c>
      <c r="G163" s="360"/>
      <c r="H163" s="361"/>
      <c r="I163" s="358">
        <v>3824.7107142857135</v>
      </c>
      <c r="J163" s="359">
        <v>2553.8035714285711</v>
      </c>
      <c r="K163" s="360"/>
      <c r="L163" s="361"/>
      <c r="M163" s="358">
        <v>3405.8016666666663</v>
      </c>
      <c r="N163" s="359">
        <v>2212.9891666666667</v>
      </c>
      <c r="O163" s="360"/>
      <c r="P163" s="361"/>
      <c r="Q163" s="358">
        <v>12017.03238095238</v>
      </c>
      <c r="R163" s="362">
        <v>8346.6127380952385</v>
      </c>
      <c r="S163" s="360">
        <v>0</v>
      </c>
      <c r="T163" s="361"/>
      <c r="V163" s="363">
        <v>180</v>
      </c>
      <c r="W163" s="360"/>
      <c r="X163" s="363">
        <v>203.63571428571427</v>
      </c>
      <c r="Y163" s="360"/>
      <c r="Z163" s="363">
        <v>151.25</v>
      </c>
      <c r="AA163" s="360"/>
      <c r="AB163" s="359">
        <v>534.88571428571424</v>
      </c>
      <c r="AC163" s="360">
        <v>0</v>
      </c>
      <c r="AD163" s="363">
        <v>2254.9499999999998</v>
      </c>
      <c r="AE163" s="360"/>
      <c r="AF163" s="363">
        <v>653.63571428571424</v>
      </c>
      <c r="AG163" s="360"/>
      <c r="AH163" s="363">
        <v>1256.2</v>
      </c>
      <c r="AI163" s="360"/>
      <c r="AJ163" s="363">
        <v>4164.7857142857138</v>
      </c>
      <c r="AK163" s="361">
        <v>0</v>
      </c>
      <c r="AL163" s="363">
        <v>4699.6714285714279</v>
      </c>
      <c r="AM163" s="361">
        <v>0</v>
      </c>
      <c r="AO163" s="363">
        <v>720</v>
      </c>
      <c r="AP163" s="360"/>
      <c r="AQ163" s="363">
        <v>675</v>
      </c>
      <c r="AR163" s="360"/>
      <c r="AS163" s="363">
        <v>398.75</v>
      </c>
      <c r="AT163" s="360"/>
      <c r="AU163" s="363">
        <v>1793.75</v>
      </c>
      <c r="AV163" s="361">
        <v>0</v>
      </c>
    </row>
    <row r="164" spans="2:48" x14ac:dyDescent="0.25">
      <c r="B164" s="364" t="s">
        <v>995</v>
      </c>
      <c r="C164" t="s">
        <v>996</v>
      </c>
      <c r="D164" t="s">
        <v>996</v>
      </c>
      <c r="E164" s="358">
        <v>2880</v>
      </c>
      <c r="F164" s="359">
        <v>1440</v>
      </c>
      <c r="G164" s="360"/>
      <c r="H164" s="361"/>
      <c r="I164" s="358">
        <v>3600</v>
      </c>
      <c r="J164" s="359">
        <v>2250</v>
      </c>
      <c r="K164" s="360"/>
      <c r="L164" s="361"/>
      <c r="M164" s="358">
        <v>3300</v>
      </c>
      <c r="N164" s="359">
        <v>1980</v>
      </c>
      <c r="O164" s="360"/>
      <c r="P164" s="361"/>
      <c r="Q164" s="358">
        <v>9780</v>
      </c>
      <c r="R164" s="362">
        <v>5670</v>
      </c>
      <c r="S164" s="360"/>
      <c r="T164" s="361"/>
      <c r="U164" t="s">
        <v>1364</v>
      </c>
      <c r="V164" s="363"/>
      <c r="W164" s="360"/>
      <c r="X164" s="363"/>
      <c r="Y164" s="360"/>
      <c r="Z164" s="363"/>
      <c r="AA164" s="360"/>
      <c r="AB164" s="359"/>
      <c r="AC164" s="360"/>
      <c r="AD164" s="363"/>
      <c r="AE164" s="360"/>
      <c r="AF164" s="363"/>
      <c r="AG164" s="360"/>
      <c r="AH164" s="363"/>
      <c r="AI164" s="360"/>
      <c r="AJ164" s="363"/>
      <c r="AK164" s="361"/>
      <c r="AL164" s="363"/>
      <c r="AM164" s="361"/>
      <c r="AO164" s="363"/>
      <c r="AP164" s="360"/>
      <c r="AQ164" s="363"/>
      <c r="AR164" s="360"/>
      <c r="AS164" s="363"/>
      <c r="AT164" s="360"/>
      <c r="AU164" s="363"/>
      <c r="AV164" s="361"/>
    </row>
    <row r="165" spans="2:48" x14ac:dyDescent="0.25">
      <c r="B165" s="364" t="s">
        <v>519</v>
      </c>
      <c r="C165" t="s">
        <v>518</v>
      </c>
      <c r="D165" t="s">
        <v>997</v>
      </c>
      <c r="E165" s="358">
        <v>5400</v>
      </c>
      <c r="F165" s="359">
        <v>900</v>
      </c>
      <c r="G165" s="360"/>
      <c r="H165" s="361"/>
      <c r="I165" s="358">
        <v>5142.8571428571422</v>
      </c>
      <c r="J165" s="359">
        <v>450</v>
      </c>
      <c r="K165" s="360"/>
      <c r="L165" s="361"/>
      <c r="M165" s="358">
        <v>4235</v>
      </c>
      <c r="N165" s="359">
        <v>756.25</v>
      </c>
      <c r="O165" s="360"/>
      <c r="P165" s="361"/>
      <c r="Q165" s="358">
        <v>14777.857142857141</v>
      </c>
      <c r="R165" s="362">
        <v>2106.25</v>
      </c>
      <c r="S165" s="360">
        <v>0</v>
      </c>
      <c r="T165" s="361"/>
      <c r="V165" s="363">
        <v>5400</v>
      </c>
      <c r="W165" s="360"/>
      <c r="X165" s="363">
        <v>4275</v>
      </c>
      <c r="Y165" s="360"/>
      <c r="Z165" s="363">
        <v>4235</v>
      </c>
      <c r="AA165" s="360"/>
      <c r="AB165" s="359">
        <v>13910</v>
      </c>
      <c r="AC165" s="360">
        <v>0</v>
      </c>
      <c r="AD165" s="363">
        <v>0</v>
      </c>
      <c r="AE165" s="360"/>
      <c r="AF165" s="363">
        <v>225</v>
      </c>
      <c r="AG165" s="360"/>
      <c r="AH165" s="363">
        <v>0</v>
      </c>
      <c r="AI165" s="360"/>
      <c r="AJ165" s="363">
        <v>225</v>
      </c>
      <c r="AK165" s="361">
        <v>0</v>
      </c>
      <c r="AL165" s="363">
        <v>14135</v>
      </c>
      <c r="AM165" s="361">
        <v>0</v>
      </c>
      <c r="AO165" s="363">
        <v>1620</v>
      </c>
      <c r="AP165" s="360"/>
      <c r="AQ165" s="363">
        <v>1542.8571428571429</v>
      </c>
      <c r="AR165" s="360"/>
      <c r="AS165" s="363">
        <v>1361.25</v>
      </c>
      <c r="AT165" s="360"/>
      <c r="AU165" s="363">
        <v>4524.1071428571431</v>
      </c>
      <c r="AV165" s="361">
        <v>0</v>
      </c>
    </row>
    <row r="166" spans="2:48" x14ac:dyDescent="0.25">
      <c r="B166" s="364" t="s">
        <v>520</v>
      </c>
      <c r="C166">
        <v>206117</v>
      </c>
      <c r="D166" t="s">
        <v>998</v>
      </c>
      <c r="E166" s="358">
        <v>5205</v>
      </c>
      <c r="F166" s="359">
        <v>4344</v>
      </c>
      <c r="G166" s="360"/>
      <c r="H166" s="361"/>
      <c r="I166" s="358">
        <v>4950</v>
      </c>
      <c r="J166" s="359">
        <v>3622.5</v>
      </c>
      <c r="K166" s="360"/>
      <c r="L166" s="361"/>
      <c r="M166" s="358">
        <v>3882.0833333333335</v>
      </c>
      <c r="N166" s="359">
        <v>3146</v>
      </c>
      <c r="O166" s="360"/>
      <c r="P166" s="361"/>
      <c r="Q166" s="358">
        <v>14037.083333333334</v>
      </c>
      <c r="R166" s="362">
        <v>11112.5</v>
      </c>
      <c r="S166" s="360">
        <v>0</v>
      </c>
      <c r="T166" s="361"/>
      <c r="V166" s="363">
        <v>0</v>
      </c>
      <c r="W166" s="360"/>
      <c r="X166" s="363">
        <v>0</v>
      </c>
      <c r="Y166" s="360"/>
      <c r="Z166" s="363">
        <v>0</v>
      </c>
      <c r="AA166" s="360"/>
      <c r="AB166" s="359">
        <v>0</v>
      </c>
      <c r="AC166" s="360">
        <v>0</v>
      </c>
      <c r="AD166" s="363">
        <v>480</v>
      </c>
      <c r="AE166" s="360"/>
      <c r="AF166" s="363">
        <v>225</v>
      </c>
      <c r="AG166" s="360"/>
      <c r="AH166" s="363">
        <v>201.66666666666666</v>
      </c>
      <c r="AI166" s="360"/>
      <c r="AJ166" s="363">
        <v>906.66666666666663</v>
      </c>
      <c r="AK166" s="361">
        <v>0</v>
      </c>
      <c r="AL166" s="363">
        <v>906.66666666666663</v>
      </c>
      <c r="AM166" s="361">
        <v>0</v>
      </c>
      <c r="AO166" s="363">
        <v>0</v>
      </c>
      <c r="AP166" s="360"/>
      <c r="AQ166" s="363">
        <v>0</v>
      </c>
      <c r="AR166" s="360"/>
      <c r="AS166" s="363">
        <v>0</v>
      </c>
      <c r="AT166" s="360"/>
      <c r="AU166" s="363">
        <v>0</v>
      </c>
      <c r="AV166" s="361">
        <v>0</v>
      </c>
    </row>
    <row r="167" spans="2:48" x14ac:dyDescent="0.25">
      <c r="B167" s="364" t="s">
        <v>521</v>
      </c>
      <c r="C167">
        <v>206141</v>
      </c>
      <c r="D167" t="s">
        <v>999</v>
      </c>
      <c r="E167" s="358">
        <v>5868</v>
      </c>
      <c r="F167" s="359">
        <v>1308</v>
      </c>
      <c r="G167" s="360"/>
      <c r="H167" s="361"/>
      <c r="I167" s="358">
        <v>4975.7142857142862</v>
      </c>
      <c r="J167" s="359">
        <v>1580.625</v>
      </c>
      <c r="K167" s="360"/>
      <c r="L167" s="361"/>
      <c r="M167" s="358">
        <v>4501.0625</v>
      </c>
      <c r="N167" s="359">
        <v>836.91666666666663</v>
      </c>
      <c r="O167" s="360"/>
      <c r="P167" s="361"/>
      <c r="Q167" s="358">
        <v>15344.776785714286</v>
      </c>
      <c r="R167" s="362">
        <v>3725.5416666666665</v>
      </c>
      <c r="S167" s="360">
        <v>0</v>
      </c>
      <c r="T167" s="361"/>
      <c r="V167" s="363">
        <v>0</v>
      </c>
      <c r="W167" s="360"/>
      <c r="X167" s="363">
        <v>0</v>
      </c>
      <c r="Y167" s="360"/>
      <c r="Z167" s="363">
        <v>0</v>
      </c>
      <c r="AA167" s="360"/>
      <c r="AB167" s="359">
        <v>0</v>
      </c>
      <c r="AC167" s="360">
        <v>0</v>
      </c>
      <c r="AD167" s="363">
        <v>612</v>
      </c>
      <c r="AE167" s="360"/>
      <c r="AF167" s="363">
        <v>0</v>
      </c>
      <c r="AG167" s="360"/>
      <c r="AH167" s="363">
        <v>514.25</v>
      </c>
      <c r="AI167" s="360"/>
      <c r="AJ167" s="363">
        <v>1126.25</v>
      </c>
      <c r="AK167" s="361">
        <v>0</v>
      </c>
      <c r="AL167" s="363">
        <v>1126.25</v>
      </c>
      <c r="AM167" s="361">
        <v>0</v>
      </c>
      <c r="AO167" s="363">
        <v>1620</v>
      </c>
      <c r="AP167" s="360"/>
      <c r="AQ167" s="363">
        <v>1575</v>
      </c>
      <c r="AR167" s="360"/>
      <c r="AS167" s="363">
        <v>1196.25</v>
      </c>
      <c r="AT167" s="360"/>
      <c r="AU167" s="363">
        <v>4391.25</v>
      </c>
      <c r="AV167" s="361">
        <v>0</v>
      </c>
    </row>
    <row r="168" spans="2:48" x14ac:dyDescent="0.25">
      <c r="B168" s="364" t="s">
        <v>523</v>
      </c>
      <c r="C168" t="s">
        <v>522</v>
      </c>
      <c r="D168" t="s">
        <v>1000</v>
      </c>
      <c r="E168" s="358">
        <v>7248</v>
      </c>
      <c r="F168" s="359">
        <v>6708</v>
      </c>
      <c r="G168" s="360"/>
      <c r="H168" s="361"/>
      <c r="I168" s="358">
        <v>4943.5714285714284</v>
      </c>
      <c r="J168" s="359">
        <v>3863.5714285714284</v>
      </c>
      <c r="K168" s="360"/>
      <c r="L168" s="361"/>
      <c r="M168" s="358">
        <v>4537.5</v>
      </c>
      <c r="N168" s="359">
        <v>4386.25</v>
      </c>
      <c r="O168" s="360"/>
      <c r="P168" s="361"/>
      <c r="Q168" s="358">
        <v>16729.071428571428</v>
      </c>
      <c r="R168" s="362">
        <v>14957.821428571428</v>
      </c>
      <c r="S168" s="360">
        <v>0</v>
      </c>
      <c r="T168" s="361"/>
      <c r="V168" s="363">
        <v>360</v>
      </c>
      <c r="W168" s="360"/>
      <c r="X168" s="363">
        <v>205.71428571428569</v>
      </c>
      <c r="Y168" s="360"/>
      <c r="Z168" s="363">
        <v>0</v>
      </c>
      <c r="AA168" s="360"/>
      <c r="AB168" s="359">
        <v>565.71428571428567</v>
      </c>
      <c r="AC168" s="360">
        <v>0</v>
      </c>
      <c r="AD168" s="363">
        <v>900</v>
      </c>
      <c r="AE168" s="360"/>
      <c r="AF168" s="363">
        <v>405</v>
      </c>
      <c r="AG168" s="360"/>
      <c r="AH168" s="363">
        <v>588.5</v>
      </c>
      <c r="AI168" s="360"/>
      <c r="AJ168" s="363">
        <v>1893.5</v>
      </c>
      <c r="AK168" s="361">
        <v>0</v>
      </c>
      <c r="AL168" s="363">
        <v>2459.2142857142858</v>
      </c>
      <c r="AM168" s="361">
        <v>0</v>
      </c>
      <c r="AO168" s="363">
        <v>0</v>
      </c>
      <c r="AP168" s="360"/>
      <c r="AQ168" s="363">
        <v>0</v>
      </c>
      <c r="AR168" s="360"/>
      <c r="AS168" s="363">
        <v>0</v>
      </c>
      <c r="AT168" s="360"/>
      <c r="AU168" s="363">
        <v>0</v>
      </c>
      <c r="AV168" s="361">
        <v>0</v>
      </c>
    </row>
    <row r="169" spans="2:48" x14ac:dyDescent="0.25">
      <c r="B169" s="364" t="s">
        <v>525</v>
      </c>
      <c r="C169" t="s">
        <v>524</v>
      </c>
      <c r="D169" t="s">
        <v>1001</v>
      </c>
      <c r="E169" s="358">
        <v>12497.349999999993</v>
      </c>
      <c r="F169" s="359">
        <v>8261.1799999999948</v>
      </c>
      <c r="G169" s="360"/>
      <c r="H169" s="361"/>
      <c r="I169" s="358">
        <v>7487.5499999999956</v>
      </c>
      <c r="J169" s="359">
        <v>5521.1464285714283</v>
      </c>
      <c r="K169" s="360"/>
      <c r="L169" s="361"/>
      <c r="M169" s="358">
        <v>6356.4233333333295</v>
      </c>
      <c r="N169" s="359">
        <v>4636.0233333333335</v>
      </c>
      <c r="O169" s="360"/>
      <c r="P169" s="361"/>
      <c r="Q169" s="358">
        <v>26341.323333333316</v>
      </c>
      <c r="R169" s="362">
        <v>18418.349761904756</v>
      </c>
      <c r="S169" s="360">
        <v>0</v>
      </c>
      <c r="T169" s="361"/>
      <c r="V169" s="363">
        <v>1135.96</v>
      </c>
      <c r="W169" s="360"/>
      <c r="X169" s="363">
        <v>649.62857142857138</v>
      </c>
      <c r="Y169" s="360"/>
      <c r="Z169" s="363">
        <v>301.40000000000003</v>
      </c>
      <c r="AA169" s="360"/>
      <c r="AB169" s="359">
        <v>2086.9885714285715</v>
      </c>
      <c r="AC169" s="360">
        <v>0</v>
      </c>
      <c r="AD169" s="363">
        <v>1057.06</v>
      </c>
      <c r="AE169" s="360"/>
      <c r="AF169" s="363">
        <v>986.39999999999986</v>
      </c>
      <c r="AG169" s="360"/>
      <c r="AH169" s="363">
        <v>425.15</v>
      </c>
      <c r="AI169" s="360"/>
      <c r="AJ169" s="363">
        <v>2468.6099999999997</v>
      </c>
      <c r="AK169" s="361">
        <v>0</v>
      </c>
      <c r="AL169" s="363">
        <v>4555.5985714285707</v>
      </c>
      <c r="AM169" s="361">
        <v>0</v>
      </c>
      <c r="AO169" s="363">
        <v>0</v>
      </c>
      <c r="AP169" s="360"/>
      <c r="AQ169" s="363">
        <v>0</v>
      </c>
      <c r="AR169" s="360"/>
      <c r="AS169" s="363">
        <v>0</v>
      </c>
      <c r="AT169" s="360"/>
      <c r="AU169" s="363">
        <v>0</v>
      </c>
      <c r="AV169" s="361">
        <v>0</v>
      </c>
    </row>
    <row r="170" spans="2:48" x14ac:dyDescent="0.25">
      <c r="B170" s="364" t="s">
        <v>526</v>
      </c>
      <c r="C170">
        <v>258408</v>
      </c>
      <c r="D170" t="s">
        <v>1002</v>
      </c>
      <c r="E170" s="358">
        <v>13744.2</v>
      </c>
      <c r="F170" s="359">
        <v>3150</v>
      </c>
      <c r="G170" s="360"/>
      <c r="H170" s="361"/>
      <c r="I170" s="358">
        <v>9466.0714285714275</v>
      </c>
      <c r="J170" s="359">
        <v>2475</v>
      </c>
      <c r="K170" s="360"/>
      <c r="L170" s="361"/>
      <c r="M170" s="358">
        <v>6778.75</v>
      </c>
      <c r="N170" s="359">
        <v>2268.75</v>
      </c>
      <c r="O170" s="360"/>
      <c r="P170" s="361"/>
      <c r="Q170" s="358">
        <v>29989.021428571428</v>
      </c>
      <c r="R170" s="362">
        <v>7893.75</v>
      </c>
      <c r="S170" s="360">
        <v>0</v>
      </c>
      <c r="T170" s="361"/>
      <c r="V170" s="363">
        <v>6420</v>
      </c>
      <c r="W170" s="360"/>
      <c r="X170" s="363">
        <v>2925</v>
      </c>
      <c r="Y170" s="360"/>
      <c r="Z170" s="363">
        <v>4221.25</v>
      </c>
      <c r="AA170" s="360"/>
      <c r="AB170" s="359">
        <v>13566.25</v>
      </c>
      <c r="AC170" s="360">
        <v>0</v>
      </c>
      <c r="AD170" s="363">
        <v>6990</v>
      </c>
      <c r="AE170" s="360"/>
      <c r="AF170" s="363">
        <v>4741.0714285714284</v>
      </c>
      <c r="AG170" s="360"/>
      <c r="AH170" s="363">
        <v>4070</v>
      </c>
      <c r="AI170" s="360"/>
      <c r="AJ170" s="363">
        <v>15801.071428571428</v>
      </c>
      <c r="AK170" s="361">
        <v>0</v>
      </c>
      <c r="AL170" s="363">
        <v>29367.321428571428</v>
      </c>
      <c r="AM170" s="361">
        <v>0</v>
      </c>
      <c r="AO170" s="363">
        <v>360</v>
      </c>
      <c r="AP170" s="360"/>
      <c r="AQ170" s="363">
        <v>0</v>
      </c>
      <c r="AR170" s="360"/>
      <c r="AS170" s="363">
        <v>302.5</v>
      </c>
      <c r="AT170" s="360"/>
      <c r="AU170" s="363">
        <v>662.5</v>
      </c>
      <c r="AV170" s="361">
        <v>0</v>
      </c>
    </row>
    <row r="171" spans="2:48" x14ac:dyDescent="0.25">
      <c r="B171" s="364" t="s">
        <v>527</v>
      </c>
      <c r="C171">
        <v>258406</v>
      </c>
      <c r="D171" t="s">
        <v>1003</v>
      </c>
      <c r="E171" s="358">
        <v>10299.799999999999</v>
      </c>
      <c r="F171" s="359">
        <v>8247.7999999999993</v>
      </c>
      <c r="G171" s="360"/>
      <c r="H171" s="361"/>
      <c r="I171" s="358">
        <v>5849.9678571428576</v>
      </c>
      <c r="J171" s="359">
        <v>3976.178571428572</v>
      </c>
      <c r="K171" s="360"/>
      <c r="L171" s="361"/>
      <c r="M171" s="358">
        <v>7063.6499999999969</v>
      </c>
      <c r="N171" s="359">
        <v>5702.4</v>
      </c>
      <c r="O171" s="360"/>
      <c r="P171" s="361"/>
      <c r="Q171" s="358">
        <v>23213.417857142853</v>
      </c>
      <c r="R171" s="362">
        <v>17926.37857142857</v>
      </c>
      <c r="S171" s="360">
        <v>0</v>
      </c>
      <c r="T171" s="361"/>
      <c r="V171" s="363">
        <v>1800</v>
      </c>
      <c r="W171" s="360"/>
      <c r="X171" s="363">
        <v>199.62857142857141</v>
      </c>
      <c r="Y171" s="360"/>
      <c r="Z171" s="363">
        <v>1361.25</v>
      </c>
      <c r="AA171" s="360"/>
      <c r="AB171" s="359">
        <v>3360.8785714285714</v>
      </c>
      <c r="AC171" s="360">
        <v>0</v>
      </c>
      <c r="AD171" s="363">
        <v>3372.8</v>
      </c>
      <c r="AE171" s="360"/>
      <c r="AF171" s="363">
        <v>1223.1428571428569</v>
      </c>
      <c r="AG171" s="360"/>
      <c r="AH171" s="363">
        <v>1634.0499999999997</v>
      </c>
      <c r="AI171" s="360"/>
      <c r="AJ171" s="363">
        <v>6229.9928571428572</v>
      </c>
      <c r="AK171" s="361">
        <v>0</v>
      </c>
      <c r="AL171" s="363">
        <v>9590.8714285714286</v>
      </c>
      <c r="AM171" s="361">
        <v>0</v>
      </c>
      <c r="AO171" s="363">
        <v>180</v>
      </c>
      <c r="AP171" s="360"/>
      <c r="AQ171" s="363">
        <v>0</v>
      </c>
      <c r="AR171" s="360"/>
      <c r="AS171" s="363">
        <v>151.25</v>
      </c>
      <c r="AT171" s="360"/>
      <c r="AU171" s="363">
        <v>331.25</v>
      </c>
      <c r="AV171" s="361">
        <v>0</v>
      </c>
    </row>
    <row r="172" spans="2:48" x14ac:dyDescent="0.25">
      <c r="B172" s="364" t="s">
        <v>528</v>
      </c>
      <c r="D172" t="s">
        <v>1004</v>
      </c>
      <c r="E172" s="358">
        <v>5444.0000000000009</v>
      </c>
      <c r="F172" s="359">
        <v>2214.3200000000002</v>
      </c>
      <c r="G172" s="360"/>
      <c r="H172" s="361"/>
      <c r="I172" s="358">
        <v>4362.2800000000007</v>
      </c>
      <c r="J172" s="359">
        <v>1620.0800000000002</v>
      </c>
      <c r="K172" s="360"/>
      <c r="L172" s="361"/>
      <c r="M172" s="358">
        <v>4984.4199999999992</v>
      </c>
      <c r="N172" s="359">
        <v>1348.72</v>
      </c>
      <c r="O172" s="360"/>
      <c r="P172" s="361"/>
      <c r="Q172" s="358">
        <v>14790.7</v>
      </c>
      <c r="R172" s="362">
        <v>5183.1200000000008</v>
      </c>
      <c r="S172" s="360">
        <v>0</v>
      </c>
      <c r="T172" s="361"/>
      <c r="V172" s="363">
        <v>6537.78</v>
      </c>
      <c r="W172" s="360"/>
      <c r="X172" s="363">
        <v>3436.76</v>
      </c>
      <c r="Y172" s="360"/>
      <c r="Z172" s="363">
        <v>4802.09</v>
      </c>
      <c r="AA172" s="360"/>
      <c r="AB172" s="359">
        <v>14776.630000000001</v>
      </c>
      <c r="AC172" s="360">
        <v>0</v>
      </c>
      <c r="AD172" s="363">
        <v>856.68000000000006</v>
      </c>
      <c r="AE172" s="360"/>
      <c r="AF172" s="363">
        <v>178.88</v>
      </c>
      <c r="AG172" s="360"/>
      <c r="AH172" s="363">
        <v>697.95</v>
      </c>
      <c r="AI172" s="360"/>
      <c r="AJ172" s="363">
        <v>1733.51</v>
      </c>
      <c r="AK172" s="361">
        <v>0</v>
      </c>
      <c r="AL172" s="363">
        <v>16510.14</v>
      </c>
      <c r="AM172" s="361">
        <v>0</v>
      </c>
      <c r="AO172" s="363">
        <v>1374.88</v>
      </c>
      <c r="AP172" s="360"/>
      <c r="AQ172" s="363">
        <v>1759.44</v>
      </c>
      <c r="AR172" s="360"/>
      <c r="AS172" s="363">
        <v>0</v>
      </c>
      <c r="AT172" s="360"/>
      <c r="AU172" s="363">
        <v>3134.32</v>
      </c>
      <c r="AV172" s="361">
        <v>0</v>
      </c>
    </row>
    <row r="173" spans="2:48" x14ac:dyDescent="0.25">
      <c r="B173" s="364" t="s">
        <v>530</v>
      </c>
      <c r="C173" t="s">
        <v>529</v>
      </c>
      <c r="D173" t="s">
        <v>1005</v>
      </c>
      <c r="E173" s="358">
        <v>5193</v>
      </c>
      <c r="F173" s="359">
        <v>180</v>
      </c>
      <c r="G173" s="360"/>
      <c r="H173" s="361"/>
      <c r="I173" s="358">
        <v>2282.1428571428569</v>
      </c>
      <c r="J173" s="359">
        <v>225</v>
      </c>
      <c r="K173" s="360"/>
      <c r="L173" s="361"/>
      <c r="M173" s="358">
        <v>2708.75</v>
      </c>
      <c r="N173" s="359">
        <v>0</v>
      </c>
      <c r="O173" s="360"/>
      <c r="P173" s="361"/>
      <c r="Q173" s="358">
        <v>10183.892857142857</v>
      </c>
      <c r="R173" s="362">
        <v>405</v>
      </c>
      <c r="S173" s="360">
        <v>0</v>
      </c>
      <c r="T173" s="361"/>
      <c r="V173" s="363">
        <v>3060</v>
      </c>
      <c r="W173" s="360"/>
      <c r="X173" s="363">
        <v>1575</v>
      </c>
      <c r="Y173" s="360"/>
      <c r="Z173" s="363">
        <v>2117.5</v>
      </c>
      <c r="AA173" s="360"/>
      <c r="AB173" s="359">
        <v>6752.5</v>
      </c>
      <c r="AC173" s="360">
        <v>0</v>
      </c>
      <c r="AD173" s="363">
        <v>1080</v>
      </c>
      <c r="AE173" s="360"/>
      <c r="AF173" s="363">
        <v>707.14285714285722</v>
      </c>
      <c r="AG173" s="360"/>
      <c r="AH173" s="363">
        <v>453.75</v>
      </c>
      <c r="AI173" s="360"/>
      <c r="AJ173" s="363">
        <v>2240.8928571428573</v>
      </c>
      <c r="AK173" s="361">
        <v>0</v>
      </c>
      <c r="AL173" s="363">
        <v>8993.3928571428569</v>
      </c>
      <c r="AM173" s="361">
        <v>0</v>
      </c>
      <c r="AO173" s="363">
        <v>3960</v>
      </c>
      <c r="AP173" s="360"/>
      <c r="AQ173" s="363">
        <v>1350</v>
      </c>
      <c r="AR173" s="360"/>
      <c r="AS173" s="363">
        <v>1952.5</v>
      </c>
      <c r="AT173" s="360"/>
      <c r="AU173" s="363">
        <v>7262.5</v>
      </c>
      <c r="AV173" s="361">
        <v>0</v>
      </c>
    </row>
    <row r="174" spans="2:48" x14ac:dyDescent="0.25">
      <c r="B174" s="364" t="s">
        <v>531</v>
      </c>
      <c r="C174">
        <v>206146</v>
      </c>
      <c r="D174" t="s">
        <v>1006</v>
      </c>
      <c r="E174" s="358">
        <v>5472</v>
      </c>
      <c r="F174" s="359">
        <v>900</v>
      </c>
      <c r="G174" s="360"/>
      <c r="H174" s="361"/>
      <c r="I174" s="358">
        <v>3105</v>
      </c>
      <c r="J174" s="359">
        <v>315</v>
      </c>
      <c r="K174" s="360"/>
      <c r="L174" s="361"/>
      <c r="M174" s="358">
        <v>3574.5416666666665</v>
      </c>
      <c r="N174" s="359">
        <v>605</v>
      </c>
      <c r="O174" s="360"/>
      <c r="P174" s="361"/>
      <c r="Q174" s="358">
        <v>12151.541666666666</v>
      </c>
      <c r="R174" s="362">
        <v>1820</v>
      </c>
      <c r="S174" s="360">
        <v>0</v>
      </c>
      <c r="T174" s="361"/>
      <c r="V174" s="363">
        <v>0</v>
      </c>
      <c r="W174" s="360"/>
      <c r="X174" s="363">
        <v>0</v>
      </c>
      <c r="Y174" s="360"/>
      <c r="Z174" s="363">
        <v>0</v>
      </c>
      <c r="AA174" s="360"/>
      <c r="AB174" s="359">
        <v>0</v>
      </c>
      <c r="AC174" s="360">
        <v>0</v>
      </c>
      <c r="AD174" s="363">
        <v>720</v>
      </c>
      <c r="AE174" s="360"/>
      <c r="AF174" s="363">
        <v>450</v>
      </c>
      <c r="AG174" s="360"/>
      <c r="AH174" s="363">
        <v>529.375</v>
      </c>
      <c r="AI174" s="360"/>
      <c r="AJ174" s="363">
        <v>1699.375</v>
      </c>
      <c r="AK174" s="361">
        <v>0</v>
      </c>
      <c r="AL174" s="363">
        <v>1699.375</v>
      </c>
      <c r="AM174" s="361">
        <v>0</v>
      </c>
      <c r="AO174" s="363">
        <v>180</v>
      </c>
      <c r="AP174" s="360"/>
      <c r="AQ174" s="363">
        <v>450</v>
      </c>
      <c r="AR174" s="360"/>
      <c r="AS174" s="363">
        <v>151.25</v>
      </c>
      <c r="AT174" s="360"/>
      <c r="AU174" s="363">
        <v>781.25</v>
      </c>
      <c r="AV174" s="361">
        <v>0</v>
      </c>
    </row>
    <row r="175" spans="2:48" x14ac:dyDescent="0.25">
      <c r="B175" s="364" t="s">
        <v>533</v>
      </c>
      <c r="C175" t="s">
        <v>532</v>
      </c>
      <c r="D175" t="s">
        <v>1007</v>
      </c>
      <c r="E175" s="358">
        <v>5119</v>
      </c>
      <c r="F175" s="359">
        <v>0</v>
      </c>
      <c r="G175" s="360"/>
      <c r="H175" s="361"/>
      <c r="I175" s="358">
        <v>4275</v>
      </c>
      <c r="J175" s="359">
        <v>0</v>
      </c>
      <c r="K175" s="360"/>
      <c r="L175" s="361"/>
      <c r="M175" s="358">
        <v>3932.5</v>
      </c>
      <c r="N175" s="359">
        <v>0</v>
      </c>
      <c r="O175" s="360"/>
      <c r="P175" s="361"/>
      <c r="Q175" s="358">
        <v>13326.5</v>
      </c>
      <c r="R175" s="362">
        <v>0</v>
      </c>
      <c r="S175" s="360">
        <v>0</v>
      </c>
      <c r="T175" s="361"/>
      <c r="V175" s="363">
        <v>5220</v>
      </c>
      <c r="W175" s="360"/>
      <c r="X175" s="363">
        <v>3150</v>
      </c>
      <c r="Y175" s="360"/>
      <c r="Z175" s="363">
        <v>3781.25</v>
      </c>
      <c r="AA175" s="360"/>
      <c r="AB175" s="359">
        <v>12151.25</v>
      </c>
      <c r="AC175" s="360">
        <v>0</v>
      </c>
      <c r="AD175" s="363">
        <v>180</v>
      </c>
      <c r="AE175" s="360"/>
      <c r="AF175" s="363">
        <v>900</v>
      </c>
      <c r="AG175" s="360"/>
      <c r="AH175" s="363">
        <v>151.25</v>
      </c>
      <c r="AI175" s="360"/>
      <c r="AJ175" s="363">
        <v>1231.25</v>
      </c>
      <c r="AK175" s="361">
        <v>0</v>
      </c>
      <c r="AL175" s="363">
        <v>13382.5</v>
      </c>
      <c r="AM175" s="361">
        <v>0</v>
      </c>
      <c r="AO175" s="363">
        <v>2700</v>
      </c>
      <c r="AP175" s="360"/>
      <c r="AQ175" s="363">
        <v>3150</v>
      </c>
      <c r="AR175" s="360"/>
      <c r="AS175" s="363">
        <v>2722.5</v>
      </c>
      <c r="AT175" s="360"/>
      <c r="AU175" s="363">
        <v>8572.5</v>
      </c>
      <c r="AV175" s="361">
        <v>0</v>
      </c>
    </row>
    <row r="176" spans="2:48" x14ac:dyDescent="0.25">
      <c r="B176" s="364" t="s">
        <v>1008</v>
      </c>
      <c r="C176" t="s">
        <v>1009</v>
      </c>
      <c r="D176" t="s">
        <v>1009</v>
      </c>
      <c r="E176" s="358">
        <v>3600</v>
      </c>
      <c r="F176" s="359">
        <v>1440</v>
      </c>
      <c r="G176" s="360"/>
      <c r="H176" s="361"/>
      <c r="I176" s="358">
        <v>2700</v>
      </c>
      <c r="J176" s="359">
        <v>675</v>
      </c>
      <c r="K176" s="360"/>
      <c r="L176" s="361"/>
      <c r="M176" s="358">
        <v>2640</v>
      </c>
      <c r="N176" s="359">
        <v>990</v>
      </c>
      <c r="O176" s="360"/>
      <c r="P176" s="361"/>
      <c r="Q176" s="358">
        <v>8940</v>
      </c>
      <c r="R176" s="362">
        <v>3105</v>
      </c>
      <c r="S176" s="360"/>
      <c r="T176" s="361"/>
      <c r="U176" t="s">
        <v>1365</v>
      </c>
      <c r="V176" s="363"/>
      <c r="W176" s="360"/>
      <c r="X176" s="363"/>
      <c r="Y176" s="360"/>
      <c r="Z176" s="363"/>
      <c r="AA176" s="360"/>
      <c r="AB176" s="359"/>
      <c r="AC176" s="360"/>
      <c r="AD176" s="363"/>
      <c r="AE176" s="360"/>
      <c r="AF176" s="363"/>
      <c r="AG176" s="360"/>
      <c r="AH176" s="363"/>
      <c r="AI176" s="360"/>
      <c r="AJ176" s="363"/>
      <c r="AK176" s="361"/>
      <c r="AL176" s="363"/>
      <c r="AM176" s="361"/>
      <c r="AO176" s="363"/>
      <c r="AP176" s="360"/>
      <c r="AQ176" s="363"/>
      <c r="AR176" s="360"/>
      <c r="AS176" s="363"/>
      <c r="AT176" s="360"/>
      <c r="AU176" s="363"/>
      <c r="AV176" s="361"/>
    </row>
    <row r="177" spans="2:48" x14ac:dyDescent="0.25">
      <c r="B177" s="364" t="s">
        <v>534</v>
      </c>
      <c r="C177">
        <v>2534321</v>
      </c>
      <c r="D177" t="s">
        <v>1010</v>
      </c>
      <c r="E177" s="358">
        <v>6939</v>
      </c>
      <c r="F177" s="359">
        <v>4968</v>
      </c>
      <c r="G177" s="360"/>
      <c r="H177" s="361"/>
      <c r="I177" s="358">
        <v>6300</v>
      </c>
      <c r="J177" s="359">
        <v>3510</v>
      </c>
      <c r="K177" s="360"/>
      <c r="L177" s="361"/>
      <c r="M177" s="358">
        <v>5293.75</v>
      </c>
      <c r="N177" s="359">
        <v>3115.75</v>
      </c>
      <c r="O177" s="360"/>
      <c r="P177" s="361"/>
      <c r="Q177" s="358">
        <v>18532.75</v>
      </c>
      <c r="R177" s="362">
        <v>11593.75</v>
      </c>
      <c r="S177" s="360">
        <v>0</v>
      </c>
      <c r="T177" s="361"/>
      <c r="V177" s="363">
        <v>3780</v>
      </c>
      <c r="W177" s="360"/>
      <c r="X177" s="363">
        <v>1575</v>
      </c>
      <c r="Y177" s="360"/>
      <c r="Z177" s="363">
        <v>3176.25</v>
      </c>
      <c r="AA177" s="360"/>
      <c r="AB177" s="359">
        <v>8531.25</v>
      </c>
      <c r="AC177" s="360">
        <v>0</v>
      </c>
      <c r="AD177" s="363">
        <v>6120</v>
      </c>
      <c r="AE177" s="360"/>
      <c r="AF177" s="363">
        <v>2925</v>
      </c>
      <c r="AG177" s="360"/>
      <c r="AH177" s="363">
        <v>3932.5</v>
      </c>
      <c r="AI177" s="360"/>
      <c r="AJ177" s="363">
        <v>12977.5</v>
      </c>
      <c r="AK177" s="361">
        <v>0</v>
      </c>
      <c r="AL177" s="363">
        <v>21508.75</v>
      </c>
      <c r="AM177" s="361">
        <v>0</v>
      </c>
      <c r="AO177" s="363">
        <v>0</v>
      </c>
      <c r="AP177" s="360"/>
      <c r="AQ177" s="363">
        <v>0</v>
      </c>
      <c r="AR177" s="360"/>
      <c r="AS177" s="363">
        <v>0</v>
      </c>
      <c r="AT177" s="360"/>
      <c r="AU177" s="363">
        <v>0</v>
      </c>
      <c r="AV177" s="361">
        <v>0</v>
      </c>
    </row>
    <row r="178" spans="2:48" x14ac:dyDescent="0.25">
      <c r="B178" s="364" t="s">
        <v>536</v>
      </c>
      <c r="C178" t="s">
        <v>535</v>
      </c>
      <c r="D178" t="s">
        <v>1011</v>
      </c>
      <c r="E178" s="358">
        <v>9622.7799999999952</v>
      </c>
      <c r="F178" s="359">
        <v>7318.7799999999988</v>
      </c>
      <c r="G178" s="360"/>
      <c r="H178" s="361"/>
      <c r="I178" s="358">
        <v>6544.0285714285737</v>
      </c>
      <c r="J178" s="359">
        <v>5689.0285714285737</v>
      </c>
      <c r="K178" s="360"/>
      <c r="L178" s="361"/>
      <c r="M178" s="358">
        <v>6021.9499999999971</v>
      </c>
      <c r="N178" s="359">
        <v>4305.949999999998</v>
      </c>
      <c r="O178" s="360"/>
      <c r="P178" s="361"/>
      <c r="Q178" s="358">
        <v>22188.758571428567</v>
      </c>
      <c r="R178" s="362">
        <v>17313.758571428571</v>
      </c>
      <c r="S178" s="360">
        <v>0</v>
      </c>
      <c r="T178" s="361"/>
      <c r="V178" s="363">
        <v>381.52</v>
      </c>
      <c r="W178" s="360"/>
      <c r="X178" s="363">
        <v>608.31428571428569</v>
      </c>
      <c r="Y178" s="360"/>
      <c r="Z178" s="363">
        <v>590.15</v>
      </c>
      <c r="AA178" s="360"/>
      <c r="AB178" s="359">
        <v>1579.9842857142858</v>
      </c>
      <c r="AC178" s="360">
        <v>0</v>
      </c>
      <c r="AD178" s="363">
        <v>1339.76</v>
      </c>
      <c r="AE178" s="360"/>
      <c r="AF178" s="363">
        <v>574.97142857142853</v>
      </c>
      <c r="AG178" s="360"/>
      <c r="AH178" s="363">
        <v>766.14999999999986</v>
      </c>
      <c r="AI178" s="360"/>
      <c r="AJ178" s="363">
        <v>2680.8814285714284</v>
      </c>
      <c r="AK178" s="361">
        <v>0</v>
      </c>
      <c r="AL178" s="363">
        <v>4260.8657142857137</v>
      </c>
      <c r="AM178" s="361">
        <v>0</v>
      </c>
      <c r="AO178" s="363">
        <v>2110.14</v>
      </c>
      <c r="AP178" s="360"/>
      <c r="AQ178" s="363">
        <v>608.31428571428569</v>
      </c>
      <c r="AR178" s="360"/>
      <c r="AS178" s="363">
        <v>0</v>
      </c>
      <c r="AT178" s="360"/>
      <c r="AU178" s="363">
        <v>2718.4542857142856</v>
      </c>
      <c r="AV178" s="361">
        <v>0</v>
      </c>
    </row>
    <row r="179" spans="2:48" x14ac:dyDescent="0.25">
      <c r="B179" s="364" t="s">
        <v>538</v>
      </c>
      <c r="C179" t="s">
        <v>537</v>
      </c>
      <c r="D179" t="s">
        <v>1012</v>
      </c>
      <c r="E179" s="358">
        <v>4437.75</v>
      </c>
      <c r="F179" s="359">
        <v>288</v>
      </c>
      <c r="G179" s="360"/>
      <c r="H179" s="361"/>
      <c r="I179" s="358">
        <v>1575</v>
      </c>
      <c r="J179" s="359">
        <v>225</v>
      </c>
      <c r="K179" s="360"/>
      <c r="L179" s="361"/>
      <c r="M179" s="358">
        <v>2309.083333333333</v>
      </c>
      <c r="N179" s="359">
        <v>302.5</v>
      </c>
      <c r="O179" s="360"/>
      <c r="P179" s="361"/>
      <c r="Q179" s="358">
        <v>8321.8333333333321</v>
      </c>
      <c r="R179" s="362">
        <v>815.5</v>
      </c>
      <c r="S179" s="360">
        <v>0</v>
      </c>
      <c r="T179" s="361"/>
      <c r="V179" s="363">
        <v>900</v>
      </c>
      <c r="W179" s="360"/>
      <c r="X179" s="363">
        <v>225</v>
      </c>
      <c r="Y179" s="360"/>
      <c r="Z179" s="363">
        <v>605</v>
      </c>
      <c r="AA179" s="360"/>
      <c r="AB179" s="359">
        <v>1730</v>
      </c>
      <c r="AC179" s="360">
        <v>0</v>
      </c>
      <c r="AD179" s="363">
        <v>1596</v>
      </c>
      <c r="AE179" s="360"/>
      <c r="AF179" s="363">
        <v>225</v>
      </c>
      <c r="AG179" s="360"/>
      <c r="AH179" s="363">
        <v>1099.0833333333335</v>
      </c>
      <c r="AI179" s="360"/>
      <c r="AJ179" s="363">
        <v>2920.0833333333335</v>
      </c>
      <c r="AK179" s="361">
        <v>0</v>
      </c>
      <c r="AL179" s="363">
        <v>4650.0833333333339</v>
      </c>
      <c r="AM179" s="361">
        <v>0</v>
      </c>
      <c r="AO179" s="363">
        <v>540</v>
      </c>
      <c r="AP179" s="360"/>
      <c r="AQ179" s="363">
        <v>675</v>
      </c>
      <c r="AR179" s="360"/>
      <c r="AS179" s="363">
        <v>302.5</v>
      </c>
      <c r="AT179" s="360"/>
      <c r="AU179" s="363">
        <v>1517.5</v>
      </c>
      <c r="AV179" s="361">
        <v>0</v>
      </c>
    </row>
    <row r="180" spans="2:48" x14ac:dyDescent="0.25">
      <c r="B180" s="364" t="s">
        <v>540</v>
      </c>
      <c r="C180" t="s">
        <v>539</v>
      </c>
      <c r="D180" t="s">
        <v>1013</v>
      </c>
      <c r="E180" s="358">
        <v>12116.060000000001</v>
      </c>
      <c r="F180" s="359">
        <v>2327.5500000000002</v>
      </c>
      <c r="G180" s="360"/>
      <c r="H180" s="361"/>
      <c r="I180" s="358">
        <v>6428.0357142857174</v>
      </c>
      <c r="J180" s="359">
        <v>1341.5999999999997</v>
      </c>
      <c r="K180" s="360"/>
      <c r="L180" s="361"/>
      <c r="M180" s="358">
        <v>8071.25</v>
      </c>
      <c r="N180" s="359">
        <v>1430</v>
      </c>
      <c r="O180" s="360"/>
      <c r="P180" s="361"/>
      <c r="Q180" s="358">
        <v>26615.345714285719</v>
      </c>
      <c r="R180" s="362">
        <v>5099.1499999999996</v>
      </c>
      <c r="S180" s="360">
        <v>0</v>
      </c>
      <c r="T180" s="361"/>
      <c r="V180" s="363">
        <v>8760.59</v>
      </c>
      <c r="W180" s="360"/>
      <c r="X180" s="363">
        <v>4703.1214285714304</v>
      </c>
      <c r="Y180" s="360"/>
      <c r="Z180" s="363">
        <v>6490</v>
      </c>
      <c r="AA180" s="360"/>
      <c r="AB180" s="359">
        <v>19953.711428571431</v>
      </c>
      <c r="AC180" s="360">
        <v>0</v>
      </c>
      <c r="AD180" s="363">
        <v>2642.98</v>
      </c>
      <c r="AE180" s="360"/>
      <c r="AF180" s="363">
        <v>1341.5999999999997</v>
      </c>
      <c r="AG180" s="360"/>
      <c r="AH180" s="363">
        <v>1512.5</v>
      </c>
      <c r="AI180" s="360"/>
      <c r="AJ180" s="363">
        <v>5497.08</v>
      </c>
      <c r="AK180" s="361">
        <v>0</v>
      </c>
      <c r="AL180" s="363">
        <v>25450.791428571429</v>
      </c>
      <c r="AM180" s="361">
        <v>0</v>
      </c>
      <c r="AO180" s="363">
        <v>11212.39</v>
      </c>
      <c r="AP180" s="360"/>
      <c r="AQ180" s="363">
        <v>4703.1214285714304</v>
      </c>
      <c r="AR180" s="360"/>
      <c r="AS180" s="363">
        <v>7246.25</v>
      </c>
      <c r="AT180" s="360"/>
      <c r="AU180" s="363">
        <v>23161.76142857143</v>
      </c>
      <c r="AV180" s="361">
        <v>0</v>
      </c>
    </row>
    <row r="181" spans="2:48" x14ac:dyDescent="0.25">
      <c r="B181" s="364" t="s">
        <v>1014</v>
      </c>
      <c r="C181" t="s">
        <v>1015</v>
      </c>
      <c r="D181" t="s">
        <v>1015</v>
      </c>
      <c r="E181" s="358"/>
      <c r="F181" s="359"/>
      <c r="G181" s="360"/>
      <c r="H181" s="361"/>
      <c r="I181" s="358">
        <v>4500</v>
      </c>
      <c r="J181" s="359">
        <v>2700</v>
      </c>
      <c r="K181" s="360"/>
      <c r="L181" s="361"/>
      <c r="M181" s="358">
        <v>4620</v>
      </c>
      <c r="N181" s="359">
        <v>2640</v>
      </c>
      <c r="O181" s="360"/>
      <c r="P181" s="361"/>
      <c r="Q181" s="358">
        <v>9120</v>
      </c>
      <c r="R181" s="362">
        <v>5340</v>
      </c>
      <c r="S181" s="360"/>
      <c r="T181" s="361"/>
      <c r="U181" t="s">
        <v>1366</v>
      </c>
      <c r="V181" s="363"/>
      <c r="W181" s="360"/>
      <c r="X181" s="363"/>
      <c r="Y181" s="360"/>
      <c r="Z181" s="363"/>
      <c r="AA181" s="360"/>
      <c r="AB181" s="359"/>
      <c r="AC181" s="360"/>
      <c r="AD181" s="363"/>
      <c r="AE181" s="360"/>
      <c r="AF181" s="363"/>
      <c r="AG181" s="360"/>
      <c r="AH181" s="363"/>
      <c r="AI181" s="360"/>
      <c r="AJ181" s="363"/>
      <c r="AK181" s="361"/>
      <c r="AL181" s="363"/>
      <c r="AM181" s="361"/>
      <c r="AO181" s="363"/>
      <c r="AP181" s="360"/>
      <c r="AQ181" s="363"/>
      <c r="AR181" s="360"/>
      <c r="AS181" s="363"/>
      <c r="AT181" s="360"/>
      <c r="AU181" s="363"/>
      <c r="AV181" s="361"/>
    </row>
    <row r="182" spans="2:48" x14ac:dyDescent="0.25">
      <c r="B182" s="364" t="s">
        <v>542</v>
      </c>
      <c r="C182" t="s">
        <v>541</v>
      </c>
      <c r="D182" t="s">
        <v>1016</v>
      </c>
      <c r="E182" s="358">
        <v>11369.530000000006</v>
      </c>
      <c r="F182" s="359">
        <v>5028.9599999999991</v>
      </c>
      <c r="G182" s="360"/>
      <c r="H182" s="361"/>
      <c r="I182" s="358">
        <v>5904.6428571428587</v>
      </c>
      <c r="J182" s="359">
        <v>1654.2857142857144</v>
      </c>
      <c r="K182" s="360"/>
      <c r="L182" s="361"/>
      <c r="M182" s="358">
        <v>7271.6874999999964</v>
      </c>
      <c r="N182" s="359">
        <v>3434.0900000000011</v>
      </c>
      <c r="O182" s="360"/>
      <c r="P182" s="361"/>
      <c r="Q182" s="358">
        <v>24545.860357142861</v>
      </c>
      <c r="R182" s="362">
        <v>10117.335714285715</v>
      </c>
      <c r="S182" s="360">
        <v>0</v>
      </c>
      <c r="T182" s="361"/>
      <c r="V182" s="363">
        <v>5332.2</v>
      </c>
      <c r="W182" s="360"/>
      <c r="X182" s="363">
        <v>1522.9285714285716</v>
      </c>
      <c r="Y182" s="360"/>
      <c r="Z182" s="363">
        <v>3746.5450000000001</v>
      </c>
      <c r="AA182" s="360"/>
      <c r="AB182" s="359">
        <v>10601.673571428571</v>
      </c>
      <c r="AC182" s="360">
        <v>0</v>
      </c>
      <c r="AD182" s="363">
        <v>5772.65</v>
      </c>
      <c r="AE182" s="360"/>
      <c r="AF182" s="363">
        <v>3236.1428571428573</v>
      </c>
      <c r="AG182" s="360"/>
      <c r="AH182" s="363">
        <v>3312.0999999999995</v>
      </c>
      <c r="AI182" s="360"/>
      <c r="AJ182" s="363">
        <v>12320.892857142855</v>
      </c>
      <c r="AK182" s="361">
        <v>0</v>
      </c>
      <c r="AL182" s="363">
        <v>22922.566428571427</v>
      </c>
      <c r="AM182" s="361">
        <v>0</v>
      </c>
      <c r="AO182" s="363">
        <v>30</v>
      </c>
      <c r="AP182" s="360"/>
      <c r="AQ182" s="363">
        <v>0</v>
      </c>
      <c r="AR182" s="360"/>
      <c r="AS182" s="363">
        <v>0</v>
      </c>
      <c r="AT182" s="360"/>
      <c r="AU182" s="363">
        <v>30</v>
      </c>
      <c r="AV182" s="361">
        <v>0</v>
      </c>
    </row>
    <row r="183" spans="2:48" x14ac:dyDescent="0.25">
      <c r="B183" s="364" t="s">
        <v>544</v>
      </c>
      <c r="C183" t="s">
        <v>543</v>
      </c>
      <c r="D183" t="s">
        <v>1017</v>
      </c>
      <c r="E183" s="358">
        <v>5734.23</v>
      </c>
      <c r="F183" s="359">
        <v>2470.23</v>
      </c>
      <c r="G183" s="360"/>
      <c r="H183" s="361"/>
      <c r="I183" s="358">
        <v>3049.9714285714285</v>
      </c>
      <c r="J183" s="359">
        <v>1699.9714285714283</v>
      </c>
      <c r="K183" s="360"/>
      <c r="L183" s="361"/>
      <c r="M183" s="358">
        <v>3758.3424999999997</v>
      </c>
      <c r="N183" s="359">
        <v>1066.0925</v>
      </c>
      <c r="O183" s="360"/>
      <c r="P183" s="361"/>
      <c r="Q183" s="358">
        <v>12542.543928571427</v>
      </c>
      <c r="R183" s="362">
        <v>5236.2939285714283</v>
      </c>
      <c r="S183" s="360">
        <v>0</v>
      </c>
      <c r="T183" s="361"/>
      <c r="V183" s="363">
        <v>3551.54</v>
      </c>
      <c r="W183" s="360"/>
      <c r="X183" s="363">
        <v>1541.6571428571428</v>
      </c>
      <c r="Y183" s="360"/>
      <c r="Z183" s="363">
        <v>2273.7000000000003</v>
      </c>
      <c r="AA183" s="360"/>
      <c r="AB183" s="359">
        <v>7366.897142857144</v>
      </c>
      <c r="AC183" s="360">
        <v>0</v>
      </c>
      <c r="AD183" s="363">
        <v>360</v>
      </c>
      <c r="AE183" s="360"/>
      <c r="AF183" s="363">
        <v>191.65714285714287</v>
      </c>
      <c r="AG183" s="360"/>
      <c r="AH183" s="363">
        <v>453.58499999999998</v>
      </c>
      <c r="AI183" s="360"/>
      <c r="AJ183" s="363">
        <v>1005.2421428571429</v>
      </c>
      <c r="AK183" s="361">
        <v>0</v>
      </c>
      <c r="AL183" s="363">
        <v>8372.1392857142873</v>
      </c>
      <c r="AM183" s="361">
        <v>0</v>
      </c>
      <c r="AO183" s="363">
        <v>0</v>
      </c>
      <c r="AP183" s="360"/>
      <c r="AQ183" s="363">
        <v>450</v>
      </c>
      <c r="AR183" s="360"/>
      <c r="AS183" s="363">
        <v>0</v>
      </c>
      <c r="AT183" s="360"/>
      <c r="AU183" s="363">
        <v>450</v>
      </c>
      <c r="AV183" s="361">
        <v>0</v>
      </c>
    </row>
    <row r="184" spans="2:48" x14ac:dyDescent="0.25">
      <c r="B184" s="364" t="s">
        <v>546</v>
      </c>
      <c r="C184" t="s">
        <v>545</v>
      </c>
      <c r="D184" t="s">
        <v>1018</v>
      </c>
      <c r="E184" s="358">
        <v>3780</v>
      </c>
      <c r="F184" s="359">
        <v>1080</v>
      </c>
      <c r="G184" s="360"/>
      <c r="H184" s="361"/>
      <c r="I184" s="358">
        <v>2475</v>
      </c>
      <c r="J184" s="359">
        <v>450</v>
      </c>
      <c r="K184" s="360"/>
      <c r="L184" s="361"/>
      <c r="M184" s="358">
        <v>2420</v>
      </c>
      <c r="N184" s="359">
        <v>605</v>
      </c>
      <c r="O184" s="360"/>
      <c r="P184" s="361"/>
      <c r="Q184" s="358">
        <v>8675</v>
      </c>
      <c r="R184" s="362">
        <v>2135</v>
      </c>
      <c r="S184" s="360">
        <v>0</v>
      </c>
      <c r="T184" s="361"/>
      <c r="V184" s="363">
        <v>3240</v>
      </c>
      <c r="W184" s="360"/>
      <c r="X184" s="363">
        <v>1575</v>
      </c>
      <c r="Y184" s="360"/>
      <c r="Z184" s="363">
        <v>1815</v>
      </c>
      <c r="AA184" s="360"/>
      <c r="AB184" s="359">
        <v>6630</v>
      </c>
      <c r="AC184" s="360">
        <v>0</v>
      </c>
      <c r="AD184" s="363">
        <v>900</v>
      </c>
      <c r="AE184" s="360"/>
      <c r="AF184" s="363">
        <v>675</v>
      </c>
      <c r="AG184" s="360"/>
      <c r="AH184" s="363">
        <v>605</v>
      </c>
      <c r="AI184" s="360"/>
      <c r="AJ184" s="363">
        <v>2180</v>
      </c>
      <c r="AK184" s="361">
        <v>0</v>
      </c>
      <c r="AL184" s="363">
        <v>8810</v>
      </c>
      <c r="AM184" s="361">
        <v>0</v>
      </c>
      <c r="AO184" s="363">
        <v>0</v>
      </c>
      <c r="AP184" s="360"/>
      <c r="AQ184" s="363">
        <v>0</v>
      </c>
      <c r="AR184" s="360"/>
      <c r="AS184" s="363">
        <v>0</v>
      </c>
      <c r="AT184" s="360"/>
      <c r="AU184" s="363">
        <v>0</v>
      </c>
      <c r="AV184" s="361">
        <v>0</v>
      </c>
    </row>
    <row r="185" spans="2:48" x14ac:dyDescent="0.25">
      <c r="B185" s="364" t="s">
        <v>548</v>
      </c>
      <c r="C185" t="s">
        <v>547</v>
      </c>
      <c r="D185" t="s">
        <v>1019</v>
      </c>
      <c r="E185" s="358">
        <v>4925.9399999999996</v>
      </c>
      <c r="F185" s="359">
        <v>342</v>
      </c>
      <c r="G185" s="360"/>
      <c r="H185" s="361"/>
      <c r="I185" s="358">
        <v>3657.8571428571431</v>
      </c>
      <c r="J185" s="359">
        <v>675</v>
      </c>
      <c r="K185" s="360"/>
      <c r="L185" s="361"/>
      <c r="M185" s="358">
        <v>3660.25</v>
      </c>
      <c r="N185" s="359">
        <v>173.9375</v>
      </c>
      <c r="O185" s="360"/>
      <c r="P185" s="361"/>
      <c r="Q185" s="358">
        <v>12244.047142857144</v>
      </c>
      <c r="R185" s="362">
        <v>1190.9375</v>
      </c>
      <c r="S185" s="360">
        <v>0</v>
      </c>
      <c r="T185" s="361"/>
      <c r="V185" s="363">
        <v>747</v>
      </c>
      <c r="W185" s="360"/>
      <c r="X185" s="363">
        <v>0</v>
      </c>
      <c r="Y185" s="360"/>
      <c r="Z185" s="363">
        <v>665.5</v>
      </c>
      <c r="AA185" s="360"/>
      <c r="AB185" s="359">
        <v>1412.5</v>
      </c>
      <c r="AC185" s="360">
        <v>0</v>
      </c>
      <c r="AD185" s="363">
        <v>1581</v>
      </c>
      <c r="AE185" s="360"/>
      <c r="AF185" s="363">
        <v>2127.8571428571431</v>
      </c>
      <c r="AG185" s="360"/>
      <c r="AH185" s="363">
        <v>1028.5</v>
      </c>
      <c r="AI185" s="360"/>
      <c r="AJ185" s="363">
        <v>4737.3571428571431</v>
      </c>
      <c r="AK185" s="361">
        <v>0</v>
      </c>
      <c r="AL185" s="363">
        <v>6149.8571428571431</v>
      </c>
      <c r="AM185" s="361">
        <v>0</v>
      </c>
      <c r="AO185" s="363">
        <v>531</v>
      </c>
      <c r="AP185" s="360"/>
      <c r="AQ185" s="363">
        <v>2160</v>
      </c>
      <c r="AR185" s="360"/>
      <c r="AS185" s="363">
        <v>363</v>
      </c>
      <c r="AT185" s="360"/>
      <c r="AU185" s="363">
        <v>3054</v>
      </c>
      <c r="AV185" s="361">
        <v>0</v>
      </c>
    </row>
    <row r="186" spans="2:48" x14ac:dyDescent="0.25">
      <c r="B186" s="364" t="s">
        <v>550</v>
      </c>
      <c r="C186" t="s">
        <v>549</v>
      </c>
      <c r="D186" t="s">
        <v>1020</v>
      </c>
      <c r="E186" s="358">
        <v>2706.75</v>
      </c>
      <c r="F186" s="359">
        <v>1296</v>
      </c>
      <c r="G186" s="360"/>
      <c r="H186" s="361"/>
      <c r="I186" s="358">
        <v>1530</v>
      </c>
      <c r="J186" s="359">
        <v>900</v>
      </c>
      <c r="K186" s="360"/>
      <c r="L186" s="361"/>
      <c r="M186" s="358">
        <v>1784.75</v>
      </c>
      <c r="N186" s="359">
        <v>937.75</v>
      </c>
      <c r="O186" s="360"/>
      <c r="P186" s="361"/>
      <c r="Q186" s="358">
        <v>6021.5</v>
      </c>
      <c r="R186" s="362">
        <v>3133.75</v>
      </c>
      <c r="S186" s="360">
        <v>0</v>
      </c>
      <c r="T186" s="361"/>
      <c r="V186" s="363">
        <v>180</v>
      </c>
      <c r="W186" s="360"/>
      <c r="X186" s="363">
        <v>0</v>
      </c>
      <c r="Y186" s="360"/>
      <c r="Z186" s="363">
        <v>0</v>
      </c>
      <c r="AA186" s="360"/>
      <c r="AB186" s="359">
        <v>180</v>
      </c>
      <c r="AC186" s="360">
        <v>0</v>
      </c>
      <c r="AD186" s="363">
        <v>288</v>
      </c>
      <c r="AE186" s="360"/>
      <c r="AF186" s="363">
        <v>0</v>
      </c>
      <c r="AG186" s="360"/>
      <c r="AH186" s="363">
        <v>242</v>
      </c>
      <c r="AI186" s="360"/>
      <c r="AJ186" s="363">
        <v>530</v>
      </c>
      <c r="AK186" s="361">
        <v>0</v>
      </c>
      <c r="AL186" s="363">
        <v>710</v>
      </c>
      <c r="AM186" s="361">
        <v>0</v>
      </c>
      <c r="AO186" s="363">
        <v>0</v>
      </c>
      <c r="AP186" s="360"/>
      <c r="AQ186" s="363">
        <v>0</v>
      </c>
      <c r="AR186" s="360"/>
      <c r="AS186" s="363">
        <v>0</v>
      </c>
      <c r="AT186" s="360"/>
      <c r="AU186" s="363">
        <v>0</v>
      </c>
      <c r="AV186" s="361">
        <v>0</v>
      </c>
    </row>
    <row r="187" spans="2:48" x14ac:dyDescent="0.25">
      <c r="B187" s="364" t="s">
        <v>1021</v>
      </c>
      <c r="C187" t="s">
        <v>1022</v>
      </c>
      <c r="D187" t="s">
        <v>1022</v>
      </c>
      <c r="E187" s="358">
        <v>6624</v>
      </c>
      <c r="F187" s="359">
        <v>2556</v>
      </c>
      <c r="G187" s="360"/>
      <c r="H187" s="361"/>
      <c r="I187" s="358">
        <v>4425</v>
      </c>
      <c r="J187" s="359">
        <v>2275</v>
      </c>
      <c r="K187" s="360"/>
      <c r="L187" s="361"/>
      <c r="M187" s="358">
        <v>5742</v>
      </c>
      <c r="N187" s="359">
        <v>2145</v>
      </c>
      <c r="O187" s="360"/>
      <c r="P187" s="361"/>
      <c r="Q187" s="358">
        <v>16791</v>
      </c>
      <c r="R187" s="362">
        <v>6976</v>
      </c>
      <c r="S187" s="360">
        <v>0</v>
      </c>
      <c r="T187" s="361"/>
      <c r="U187" t="s">
        <v>1367</v>
      </c>
      <c r="V187" s="363">
        <v>3564</v>
      </c>
      <c r="W187" s="360"/>
      <c r="X187" s="363">
        <v>1680</v>
      </c>
      <c r="Y187" s="360"/>
      <c r="Z187" s="363">
        <v>3267</v>
      </c>
      <c r="AA187" s="360"/>
      <c r="AB187" s="359">
        <v>8511</v>
      </c>
      <c r="AC187" s="360">
        <v>0</v>
      </c>
      <c r="AD187" s="363">
        <v>2592</v>
      </c>
      <c r="AE187" s="360"/>
      <c r="AF187" s="363">
        <v>1470</v>
      </c>
      <c r="AG187" s="360"/>
      <c r="AH187" s="363">
        <v>2211</v>
      </c>
      <c r="AI187" s="360"/>
      <c r="AJ187" s="363">
        <v>6273</v>
      </c>
      <c r="AK187" s="361">
        <v>0</v>
      </c>
      <c r="AL187" s="363">
        <v>14784</v>
      </c>
      <c r="AM187" s="361">
        <v>0</v>
      </c>
      <c r="AO187" s="363">
        <v>3888</v>
      </c>
      <c r="AP187" s="360"/>
      <c r="AQ187" s="363">
        <v>1890</v>
      </c>
      <c r="AR187" s="360"/>
      <c r="AS187" s="363">
        <v>3399</v>
      </c>
      <c r="AT187" s="360"/>
      <c r="AU187" s="363">
        <v>9177</v>
      </c>
      <c r="AV187" s="361">
        <v>0</v>
      </c>
    </row>
    <row r="188" spans="2:48" x14ac:dyDescent="0.25">
      <c r="B188" s="364" t="s">
        <v>553</v>
      </c>
      <c r="C188" t="s">
        <v>552</v>
      </c>
      <c r="D188" t="s">
        <v>1023</v>
      </c>
      <c r="E188" s="358">
        <v>3596.4</v>
      </c>
      <c r="F188" s="359">
        <v>2502</v>
      </c>
      <c r="G188" s="360"/>
      <c r="H188" s="361"/>
      <c r="I188" s="358">
        <v>3593.4000000000005</v>
      </c>
      <c r="J188" s="359">
        <v>2257.7999999999997</v>
      </c>
      <c r="K188" s="360"/>
      <c r="L188" s="361"/>
      <c r="M188" s="358">
        <v>2505.25</v>
      </c>
      <c r="N188" s="359">
        <v>1655.0416666666667</v>
      </c>
      <c r="O188" s="360"/>
      <c r="P188" s="361"/>
      <c r="Q188" s="358">
        <v>9695.0500000000011</v>
      </c>
      <c r="R188" s="362">
        <v>6414.8416666666662</v>
      </c>
      <c r="S188" s="360">
        <v>0</v>
      </c>
      <c r="T188" s="361"/>
      <c r="U188" t="s">
        <v>1367</v>
      </c>
      <c r="V188" s="363">
        <v>888</v>
      </c>
      <c r="W188" s="360"/>
      <c r="X188" s="363">
        <v>0</v>
      </c>
      <c r="Y188" s="360"/>
      <c r="Z188" s="363">
        <v>616</v>
      </c>
      <c r="AA188" s="360"/>
      <c r="AB188" s="359">
        <v>1504</v>
      </c>
      <c r="AC188" s="360">
        <v>0</v>
      </c>
      <c r="AD188" s="363">
        <v>3678</v>
      </c>
      <c r="AE188" s="360"/>
      <c r="AF188" s="363">
        <v>2050.2857142857138</v>
      </c>
      <c r="AG188" s="360"/>
      <c r="AH188" s="363">
        <v>1826</v>
      </c>
      <c r="AI188" s="360"/>
      <c r="AJ188" s="363">
        <v>7554.2857142857138</v>
      </c>
      <c r="AK188" s="361">
        <v>0</v>
      </c>
      <c r="AL188" s="363">
        <v>9058.2857142857138</v>
      </c>
      <c r="AM188" s="361">
        <v>0</v>
      </c>
      <c r="AO188" s="363">
        <v>180</v>
      </c>
      <c r="AP188" s="360"/>
      <c r="AQ188" s="363">
        <v>83.571428571428569</v>
      </c>
      <c r="AR188" s="360"/>
      <c r="AS188" s="363">
        <v>100.83333333333333</v>
      </c>
      <c r="AT188" s="360"/>
      <c r="AU188" s="363">
        <v>364.40476190476187</v>
      </c>
      <c r="AV188" s="361">
        <v>0</v>
      </c>
    </row>
    <row r="189" spans="2:48" x14ac:dyDescent="0.25">
      <c r="B189" s="364" t="s">
        <v>554</v>
      </c>
      <c r="C189" t="s">
        <v>1024</v>
      </c>
      <c r="D189" t="s">
        <v>1024</v>
      </c>
      <c r="E189" s="358">
        <v>9360</v>
      </c>
      <c r="F189" s="359">
        <v>3240</v>
      </c>
      <c r="G189" s="360"/>
      <c r="H189" s="361"/>
      <c r="I189" s="358">
        <v>7650</v>
      </c>
      <c r="J189" s="359">
        <v>2700</v>
      </c>
      <c r="K189" s="360"/>
      <c r="L189" s="361"/>
      <c r="M189" s="358">
        <v>7425</v>
      </c>
      <c r="N189" s="359">
        <v>2640</v>
      </c>
      <c r="O189" s="360"/>
      <c r="P189" s="361"/>
      <c r="Q189" s="358">
        <v>24435</v>
      </c>
      <c r="R189" s="362">
        <v>8580</v>
      </c>
      <c r="S189" s="360">
        <v>0</v>
      </c>
      <c r="T189" s="361"/>
      <c r="V189" s="363">
        <v>2711.6400000000003</v>
      </c>
      <c r="W189" s="360"/>
      <c r="X189" s="363">
        <v>3539.34</v>
      </c>
      <c r="Y189" s="360"/>
      <c r="Z189" s="363">
        <v>990</v>
      </c>
      <c r="AA189" s="360"/>
      <c r="AB189" s="359">
        <v>7240.9800000000005</v>
      </c>
      <c r="AC189" s="360">
        <v>0</v>
      </c>
      <c r="AD189" s="363">
        <v>0</v>
      </c>
      <c r="AE189" s="360"/>
      <c r="AF189" s="363">
        <v>270</v>
      </c>
      <c r="AG189" s="360"/>
      <c r="AH189" s="363">
        <v>0</v>
      </c>
      <c r="AI189" s="360"/>
      <c r="AJ189" s="363">
        <v>270</v>
      </c>
      <c r="AK189" s="361">
        <v>0</v>
      </c>
      <c r="AL189" s="363">
        <v>7510.9800000000005</v>
      </c>
      <c r="AM189" s="361">
        <v>0</v>
      </c>
      <c r="AO189" s="363">
        <v>1230</v>
      </c>
      <c r="AP189" s="360"/>
      <c r="AQ189" s="363">
        <v>1260</v>
      </c>
      <c r="AR189" s="360"/>
      <c r="AS189" s="363">
        <v>0</v>
      </c>
      <c r="AT189" s="360"/>
      <c r="AU189" s="363">
        <v>2490</v>
      </c>
      <c r="AV189" s="361">
        <v>0</v>
      </c>
    </row>
    <row r="190" spans="2:48" x14ac:dyDescent="0.25">
      <c r="B190" s="364" t="s">
        <v>556</v>
      </c>
      <c r="C190" t="s">
        <v>555</v>
      </c>
      <c r="D190" t="s">
        <v>1025</v>
      </c>
      <c r="E190" s="358">
        <v>6762</v>
      </c>
      <c r="F190" s="359">
        <v>4152</v>
      </c>
      <c r="G190" s="360"/>
      <c r="H190" s="361"/>
      <c r="I190" s="358">
        <v>4950</v>
      </c>
      <c r="J190" s="359">
        <v>3067.5</v>
      </c>
      <c r="K190" s="360"/>
      <c r="L190" s="361"/>
      <c r="M190" s="358">
        <v>4925.7083333333339</v>
      </c>
      <c r="N190" s="359">
        <v>3156.0833333333335</v>
      </c>
      <c r="O190" s="360"/>
      <c r="P190" s="361"/>
      <c r="Q190" s="358">
        <v>16637.708333333336</v>
      </c>
      <c r="R190" s="362">
        <v>10375.583333333334</v>
      </c>
      <c r="S190" s="360">
        <v>0</v>
      </c>
      <c r="T190" s="361"/>
      <c r="V190" s="363">
        <v>510</v>
      </c>
      <c r="W190" s="360"/>
      <c r="X190" s="363">
        <v>0</v>
      </c>
      <c r="Y190" s="360"/>
      <c r="Z190" s="363">
        <v>559.625</v>
      </c>
      <c r="AA190" s="360"/>
      <c r="AB190" s="359">
        <v>1069.625</v>
      </c>
      <c r="AC190" s="360">
        <v>0</v>
      </c>
      <c r="AD190" s="363">
        <v>360</v>
      </c>
      <c r="AE190" s="360"/>
      <c r="AF190" s="363">
        <v>225</v>
      </c>
      <c r="AG190" s="360"/>
      <c r="AH190" s="363">
        <v>302.5</v>
      </c>
      <c r="AI190" s="360"/>
      <c r="AJ190" s="363">
        <v>887.5</v>
      </c>
      <c r="AK190" s="361">
        <v>0</v>
      </c>
      <c r="AL190" s="363">
        <v>1957.125</v>
      </c>
      <c r="AM190" s="361">
        <v>0</v>
      </c>
      <c r="AO190" s="363">
        <v>0</v>
      </c>
      <c r="AP190" s="360"/>
      <c r="AQ190" s="363">
        <v>0</v>
      </c>
      <c r="AR190" s="360"/>
      <c r="AS190" s="363">
        <v>0</v>
      </c>
      <c r="AT190" s="360"/>
      <c r="AU190" s="363">
        <v>0</v>
      </c>
      <c r="AV190" s="361">
        <v>0</v>
      </c>
    </row>
    <row r="191" spans="2:48" x14ac:dyDescent="0.25">
      <c r="B191" s="364" t="s">
        <v>557</v>
      </c>
      <c r="C191">
        <v>206103</v>
      </c>
      <c r="D191" t="s">
        <v>1026</v>
      </c>
      <c r="E191" s="358">
        <v>7394.95</v>
      </c>
      <c r="F191" s="359">
        <v>3348</v>
      </c>
      <c r="G191" s="360"/>
      <c r="H191" s="361"/>
      <c r="I191" s="358">
        <v>5698.9285714285716</v>
      </c>
      <c r="J191" s="359">
        <v>3637.5</v>
      </c>
      <c r="K191" s="360"/>
      <c r="L191" s="361"/>
      <c r="M191" s="358">
        <v>6080.25</v>
      </c>
      <c r="N191" s="359">
        <v>2566.208333333333</v>
      </c>
      <c r="O191" s="360"/>
      <c r="P191" s="361"/>
      <c r="Q191" s="358">
        <v>19174.12857142857</v>
      </c>
      <c r="R191" s="362">
        <v>9551.7083333333321</v>
      </c>
      <c r="S191" s="360">
        <v>0</v>
      </c>
      <c r="T191" s="361"/>
      <c r="V191" s="363">
        <v>1800</v>
      </c>
      <c r="W191" s="360"/>
      <c r="X191" s="363">
        <v>652.5</v>
      </c>
      <c r="Y191" s="360"/>
      <c r="Z191" s="363">
        <v>1789.7916666666667</v>
      </c>
      <c r="AA191" s="360"/>
      <c r="AB191" s="359">
        <v>4242.291666666667</v>
      </c>
      <c r="AC191" s="360">
        <v>0</v>
      </c>
      <c r="AD191" s="363">
        <v>3354</v>
      </c>
      <c r="AE191" s="360"/>
      <c r="AF191" s="363">
        <v>2700</v>
      </c>
      <c r="AG191" s="360"/>
      <c r="AH191" s="363">
        <v>2001.5416666666667</v>
      </c>
      <c r="AI191" s="360"/>
      <c r="AJ191" s="363">
        <v>8055.541666666667</v>
      </c>
      <c r="AK191" s="361">
        <v>0</v>
      </c>
      <c r="AL191" s="363">
        <v>12297.833333333334</v>
      </c>
      <c r="AM191" s="361">
        <v>0</v>
      </c>
      <c r="AO191" s="363">
        <v>0</v>
      </c>
      <c r="AP191" s="360"/>
      <c r="AQ191" s="363">
        <v>0</v>
      </c>
      <c r="AR191" s="360"/>
      <c r="AS191" s="363">
        <v>0</v>
      </c>
      <c r="AT191" s="360"/>
      <c r="AU191" s="363">
        <v>0</v>
      </c>
      <c r="AV191" s="361">
        <v>0</v>
      </c>
    </row>
    <row r="192" spans="2:48" x14ac:dyDescent="0.25">
      <c r="B192" s="364" t="s">
        <v>558</v>
      </c>
      <c r="C192">
        <v>2614882</v>
      </c>
      <c r="D192" t="s">
        <v>1027</v>
      </c>
      <c r="E192" s="358">
        <v>6423.9200000000028</v>
      </c>
      <c r="F192" s="359">
        <v>4227.45</v>
      </c>
      <c r="G192" s="360"/>
      <c r="H192" s="361"/>
      <c r="I192" s="358">
        <v>5527.4571428571453</v>
      </c>
      <c r="J192" s="359">
        <v>4115.9999999999991</v>
      </c>
      <c r="K192" s="360"/>
      <c r="L192" s="361"/>
      <c r="M192" s="358">
        <v>5104.650833333335</v>
      </c>
      <c r="N192" s="359">
        <v>2798.3175000000006</v>
      </c>
      <c r="O192" s="360"/>
      <c r="P192" s="361"/>
      <c r="Q192" s="358">
        <v>17056.027976190482</v>
      </c>
      <c r="R192" s="362">
        <v>11141.7675</v>
      </c>
      <c r="S192" s="360">
        <v>0</v>
      </c>
      <c r="T192" s="361"/>
      <c r="V192" s="363">
        <v>714.95</v>
      </c>
      <c r="W192" s="360"/>
      <c r="X192" s="363">
        <v>191.65714285714287</v>
      </c>
      <c r="Y192" s="360"/>
      <c r="Z192" s="363">
        <v>614.76249999999993</v>
      </c>
      <c r="AA192" s="360"/>
      <c r="AB192" s="359">
        <v>1521.3696428571429</v>
      </c>
      <c r="AC192" s="360">
        <v>0</v>
      </c>
      <c r="AD192" s="363">
        <v>3444.3700000000003</v>
      </c>
      <c r="AE192" s="360"/>
      <c r="AF192" s="363">
        <v>127.71428571428571</v>
      </c>
      <c r="AG192" s="360"/>
      <c r="AH192" s="363">
        <v>2352.7625000000003</v>
      </c>
      <c r="AI192" s="360"/>
      <c r="AJ192" s="363">
        <v>5924.8467857142859</v>
      </c>
      <c r="AK192" s="361">
        <v>0</v>
      </c>
      <c r="AL192" s="363">
        <v>7446.2164285714289</v>
      </c>
      <c r="AM192" s="361">
        <v>0</v>
      </c>
      <c r="AO192" s="363">
        <v>0</v>
      </c>
      <c r="AP192" s="360"/>
      <c r="AQ192" s="363">
        <v>0</v>
      </c>
      <c r="AR192" s="360"/>
      <c r="AS192" s="363">
        <v>143.47666666666669</v>
      </c>
      <c r="AT192" s="360"/>
      <c r="AU192" s="363">
        <v>143.47666666666669</v>
      </c>
      <c r="AV192" s="361">
        <v>0</v>
      </c>
    </row>
    <row r="193" spans="2:48" x14ac:dyDescent="0.25">
      <c r="B193" s="364" t="s">
        <v>560</v>
      </c>
      <c r="C193" t="s">
        <v>559</v>
      </c>
      <c r="D193" t="s">
        <v>1028</v>
      </c>
      <c r="E193" s="358">
        <v>6408</v>
      </c>
      <c r="F193" s="359">
        <v>3342</v>
      </c>
      <c r="G193" s="360"/>
      <c r="H193" s="361"/>
      <c r="I193" s="358">
        <v>2691.7714285714287</v>
      </c>
      <c r="J193" s="359">
        <v>649.37142857142862</v>
      </c>
      <c r="K193" s="360"/>
      <c r="L193" s="361"/>
      <c r="M193" s="358">
        <v>4534.2916666666661</v>
      </c>
      <c r="N193" s="359">
        <v>2377.833333333333</v>
      </c>
      <c r="O193" s="360"/>
      <c r="P193" s="361"/>
      <c r="Q193" s="358">
        <v>13634.063095238094</v>
      </c>
      <c r="R193" s="362">
        <v>6369.2047619047617</v>
      </c>
      <c r="S193" s="360">
        <v>0</v>
      </c>
      <c r="T193" s="361"/>
      <c r="V193" s="363">
        <v>4404</v>
      </c>
      <c r="W193" s="360"/>
      <c r="X193" s="363">
        <v>874.37142857142862</v>
      </c>
      <c r="Y193" s="360"/>
      <c r="Z193" s="363">
        <v>3373.3333333333335</v>
      </c>
      <c r="AA193" s="360"/>
      <c r="AB193" s="359">
        <v>8651.7047619047626</v>
      </c>
      <c r="AC193" s="360">
        <v>0</v>
      </c>
      <c r="AD193" s="363">
        <v>2952</v>
      </c>
      <c r="AE193" s="360"/>
      <c r="AF193" s="363">
        <v>1073.7428571428572</v>
      </c>
      <c r="AG193" s="360"/>
      <c r="AH193" s="363">
        <v>1917.6666666666667</v>
      </c>
      <c r="AI193" s="360"/>
      <c r="AJ193" s="363">
        <v>5943.4095238095242</v>
      </c>
      <c r="AK193" s="361">
        <v>0</v>
      </c>
      <c r="AL193" s="363">
        <v>14595.114285714288</v>
      </c>
      <c r="AM193" s="361">
        <v>0</v>
      </c>
      <c r="AO193" s="363">
        <v>2268</v>
      </c>
      <c r="AP193" s="360"/>
      <c r="AQ193" s="363">
        <v>623.74285714285725</v>
      </c>
      <c r="AR193" s="360"/>
      <c r="AS193" s="363">
        <v>1520.75</v>
      </c>
      <c r="AT193" s="360"/>
      <c r="AU193" s="363">
        <v>4412.4928571428572</v>
      </c>
      <c r="AV193" s="361">
        <v>0</v>
      </c>
    </row>
    <row r="194" spans="2:48" x14ac:dyDescent="0.25">
      <c r="B194" s="364" t="s">
        <v>563</v>
      </c>
      <c r="C194">
        <v>2498864</v>
      </c>
      <c r="D194" t="s">
        <v>1029</v>
      </c>
      <c r="E194" s="358">
        <v>6546.75</v>
      </c>
      <c r="F194" s="359">
        <v>3345</v>
      </c>
      <c r="G194" s="360"/>
      <c r="H194" s="361"/>
      <c r="I194" s="358">
        <v>4725</v>
      </c>
      <c r="J194" s="359">
        <v>2775</v>
      </c>
      <c r="K194" s="360"/>
      <c r="L194" s="361"/>
      <c r="M194" s="358">
        <v>4083.75</v>
      </c>
      <c r="N194" s="359">
        <v>2571.25</v>
      </c>
      <c r="O194" s="360"/>
      <c r="P194" s="361"/>
      <c r="Q194" s="358">
        <v>15355.5</v>
      </c>
      <c r="R194" s="362">
        <v>8691.25</v>
      </c>
      <c r="S194" s="360">
        <v>0</v>
      </c>
      <c r="T194" s="361"/>
      <c r="V194" s="363">
        <v>2040</v>
      </c>
      <c r="W194" s="360"/>
      <c r="X194" s="363">
        <v>1125</v>
      </c>
      <c r="Y194" s="360"/>
      <c r="Z194" s="363">
        <v>1663.75</v>
      </c>
      <c r="AA194" s="360"/>
      <c r="AB194" s="359">
        <v>4828.75</v>
      </c>
      <c r="AC194" s="360">
        <v>0</v>
      </c>
      <c r="AD194" s="363">
        <v>1740</v>
      </c>
      <c r="AE194" s="360"/>
      <c r="AF194" s="363">
        <v>1575</v>
      </c>
      <c r="AG194" s="360"/>
      <c r="AH194" s="363">
        <v>1210</v>
      </c>
      <c r="AI194" s="360"/>
      <c r="AJ194" s="363">
        <v>4525</v>
      </c>
      <c r="AK194" s="361">
        <v>0</v>
      </c>
      <c r="AL194" s="363">
        <v>9353.75</v>
      </c>
      <c r="AM194" s="361">
        <v>0</v>
      </c>
      <c r="AO194" s="363">
        <v>0</v>
      </c>
      <c r="AP194" s="360"/>
      <c r="AQ194" s="363">
        <v>0</v>
      </c>
      <c r="AR194" s="360"/>
      <c r="AS194" s="363">
        <v>0</v>
      </c>
      <c r="AT194" s="360"/>
      <c r="AU194" s="363">
        <v>0</v>
      </c>
      <c r="AV194" s="361">
        <v>0</v>
      </c>
    </row>
    <row r="195" spans="2:48" x14ac:dyDescent="0.25">
      <c r="B195" s="364" t="s">
        <v>565</v>
      </c>
      <c r="C195" t="s">
        <v>564</v>
      </c>
      <c r="D195" t="s">
        <v>1030</v>
      </c>
      <c r="E195" s="358">
        <v>7257</v>
      </c>
      <c r="F195" s="359">
        <v>2724</v>
      </c>
      <c r="G195" s="360"/>
      <c r="H195" s="361"/>
      <c r="I195" s="358">
        <v>4159.2857142857138</v>
      </c>
      <c r="J195" s="359">
        <v>1009.2857142857143</v>
      </c>
      <c r="K195" s="360"/>
      <c r="L195" s="361"/>
      <c r="M195" s="358">
        <v>4664</v>
      </c>
      <c r="N195" s="359">
        <v>2395.25</v>
      </c>
      <c r="O195" s="360"/>
      <c r="P195" s="361"/>
      <c r="Q195" s="358">
        <v>16080.285714285714</v>
      </c>
      <c r="R195" s="362">
        <v>6128.5357142857138</v>
      </c>
      <c r="S195" s="360">
        <v>0</v>
      </c>
      <c r="T195" s="361"/>
      <c r="V195" s="363">
        <v>2265</v>
      </c>
      <c r="W195" s="360"/>
      <c r="X195" s="363">
        <v>1575</v>
      </c>
      <c r="Y195" s="360"/>
      <c r="Z195" s="363">
        <v>1210</v>
      </c>
      <c r="AA195" s="360"/>
      <c r="AB195" s="359">
        <v>5050</v>
      </c>
      <c r="AC195" s="360">
        <v>0</v>
      </c>
      <c r="AD195" s="363">
        <v>2964</v>
      </c>
      <c r="AE195" s="360"/>
      <c r="AF195" s="363">
        <v>1317.8571428571429</v>
      </c>
      <c r="AG195" s="360"/>
      <c r="AH195" s="363">
        <v>2213.75</v>
      </c>
      <c r="AI195" s="360"/>
      <c r="AJ195" s="363">
        <v>6495.6071428571431</v>
      </c>
      <c r="AK195" s="361">
        <v>0</v>
      </c>
      <c r="AL195" s="363">
        <v>11545.607142857143</v>
      </c>
      <c r="AM195" s="361">
        <v>0</v>
      </c>
      <c r="AO195" s="363">
        <v>180</v>
      </c>
      <c r="AP195" s="360"/>
      <c r="AQ195" s="363">
        <v>0</v>
      </c>
      <c r="AR195" s="360"/>
      <c r="AS195" s="363">
        <v>151.25</v>
      </c>
      <c r="AT195" s="360"/>
      <c r="AU195" s="363">
        <v>331.25</v>
      </c>
      <c r="AV195" s="361">
        <v>0</v>
      </c>
    </row>
    <row r="196" spans="2:48" x14ac:dyDescent="0.25">
      <c r="B196" s="364" t="s">
        <v>1031</v>
      </c>
      <c r="C196" t="s">
        <v>1032</v>
      </c>
      <c r="D196" t="s">
        <v>1032</v>
      </c>
      <c r="E196" s="358">
        <v>6451.8899999999985</v>
      </c>
      <c r="F196" s="359">
        <v>4454.119999999999</v>
      </c>
      <c r="G196" s="360"/>
      <c r="H196" s="361"/>
      <c r="I196" s="358">
        <v>3485.4000000000005</v>
      </c>
      <c r="J196" s="359">
        <v>1954.1999999999996</v>
      </c>
      <c r="K196" s="360"/>
      <c r="L196" s="361"/>
      <c r="M196" s="358">
        <v>4822.0799999999981</v>
      </c>
      <c r="N196" s="359">
        <v>3326.01</v>
      </c>
      <c r="O196" s="360"/>
      <c r="P196" s="361"/>
      <c r="Q196" s="358">
        <v>14759.369999999997</v>
      </c>
      <c r="R196" s="362">
        <v>9734.3299999999981</v>
      </c>
      <c r="S196" s="360">
        <v>0</v>
      </c>
      <c r="T196" s="361"/>
      <c r="V196" s="363">
        <v>1431.5200000000002</v>
      </c>
      <c r="W196" s="360"/>
      <c r="X196" s="363">
        <v>193.8</v>
      </c>
      <c r="Y196" s="360"/>
      <c r="Z196" s="363">
        <v>1384.98</v>
      </c>
      <c r="AA196" s="360"/>
      <c r="AB196" s="359">
        <v>3010.3</v>
      </c>
      <c r="AC196" s="360">
        <v>0</v>
      </c>
      <c r="AD196" s="363">
        <v>2872.5599999999995</v>
      </c>
      <c r="AE196" s="360"/>
      <c r="AF196" s="363">
        <v>581.40000000000009</v>
      </c>
      <c r="AG196" s="360"/>
      <c r="AH196" s="363">
        <v>2492.46</v>
      </c>
      <c r="AI196" s="360"/>
      <c r="AJ196" s="363">
        <v>5946.42</v>
      </c>
      <c r="AK196" s="361">
        <v>0</v>
      </c>
      <c r="AL196" s="363">
        <v>8956.7200000000012</v>
      </c>
      <c r="AM196" s="361">
        <v>0</v>
      </c>
      <c r="AO196" s="363">
        <v>0</v>
      </c>
      <c r="AP196" s="360"/>
      <c r="AQ196" s="363">
        <v>0</v>
      </c>
      <c r="AR196" s="360"/>
      <c r="AS196" s="363">
        <v>0</v>
      </c>
      <c r="AT196" s="360"/>
      <c r="AU196" s="363">
        <v>0</v>
      </c>
      <c r="AV196" s="361">
        <v>0</v>
      </c>
    </row>
    <row r="197" spans="2:48" x14ac:dyDescent="0.25">
      <c r="B197" s="364" t="s">
        <v>568</v>
      </c>
      <c r="C197" t="s">
        <v>567</v>
      </c>
      <c r="D197" t="s">
        <v>1033</v>
      </c>
      <c r="E197" s="358">
        <v>6999.449999999998</v>
      </c>
      <c r="F197" s="359">
        <v>5764.1999999999989</v>
      </c>
      <c r="G197" s="360"/>
      <c r="H197" s="361"/>
      <c r="I197" s="358">
        <v>4154.5714285714284</v>
      </c>
      <c r="J197" s="359">
        <v>2830.8</v>
      </c>
      <c r="K197" s="360"/>
      <c r="L197" s="361"/>
      <c r="M197" s="358">
        <v>5179.2949999999973</v>
      </c>
      <c r="N197" s="359">
        <v>4476.9449999999988</v>
      </c>
      <c r="O197" s="360"/>
      <c r="P197" s="361"/>
      <c r="Q197" s="358">
        <v>16333.316428571423</v>
      </c>
      <c r="R197" s="362">
        <v>13071.945</v>
      </c>
      <c r="S197" s="360">
        <v>0</v>
      </c>
      <c r="T197" s="361"/>
      <c r="V197" s="363">
        <v>3344.92</v>
      </c>
      <c r="W197" s="360"/>
      <c r="X197" s="363">
        <v>1213.6285714285716</v>
      </c>
      <c r="Y197" s="360"/>
      <c r="Z197" s="363">
        <v>2429.5700000000002</v>
      </c>
      <c r="AA197" s="360"/>
      <c r="AB197" s="359">
        <v>6988.1185714285712</v>
      </c>
      <c r="AC197" s="360">
        <v>0</v>
      </c>
      <c r="AD197" s="363">
        <v>4324.1100000000006</v>
      </c>
      <c r="AE197" s="360"/>
      <c r="AF197" s="363">
        <v>1918.9714285714285</v>
      </c>
      <c r="AG197" s="360"/>
      <c r="AH197" s="363">
        <v>3475.8350000000009</v>
      </c>
      <c r="AI197" s="360"/>
      <c r="AJ197" s="363">
        <v>9718.9164285714305</v>
      </c>
      <c r="AK197" s="361">
        <v>0</v>
      </c>
      <c r="AL197" s="363">
        <v>16707.035000000003</v>
      </c>
      <c r="AM197" s="361">
        <v>0</v>
      </c>
      <c r="AO197" s="363">
        <v>0</v>
      </c>
      <c r="AP197" s="360"/>
      <c r="AQ197" s="363">
        <v>0</v>
      </c>
      <c r="AR197" s="360"/>
      <c r="AS197" s="363">
        <v>0</v>
      </c>
      <c r="AT197" s="360"/>
      <c r="AU197" s="363">
        <v>0</v>
      </c>
      <c r="AV197" s="361">
        <v>0</v>
      </c>
    </row>
    <row r="198" spans="2:48" x14ac:dyDescent="0.25">
      <c r="B198" s="364" t="s">
        <v>570</v>
      </c>
      <c r="C198" t="s">
        <v>569</v>
      </c>
      <c r="D198" t="s">
        <v>1034</v>
      </c>
      <c r="E198" s="358">
        <v>5328</v>
      </c>
      <c r="F198" s="359">
        <v>2844</v>
      </c>
      <c r="G198" s="360"/>
      <c r="H198" s="361"/>
      <c r="I198" s="358">
        <v>4050</v>
      </c>
      <c r="J198" s="359">
        <v>1125</v>
      </c>
      <c r="K198" s="360"/>
      <c r="L198" s="361"/>
      <c r="M198" s="358">
        <v>3388</v>
      </c>
      <c r="N198" s="359">
        <v>1936</v>
      </c>
      <c r="O198" s="360"/>
      <c r="P198" s="361"/>
      <c r="Q198" s="358">
        <v>12766</v>
      </c>
      <c r="R198" s="362">
        <v>5905</v>
      </c>
      <c r="S198" s="360">
        <v>0</v>
      </c>
      <c r="T198" s="361"/>
      <c r="V198" s="363">
        <v>900</v>
      </c>
      <c r="W198" s="360"/>
      <c r="X198" s="363">
        <v>900</v>
      </c>
      <c r="Y198" s="360"/>
      <c r="Z198" s="363">
        <v>907.5</v>
      </c>
      <c r="AA198" s="360"/>
      <c r="AB198" s="359">
        <v>2707.5</v>
      </c>
      <c r="AC198" s="360">
        <v>0</v>
      </c>
      <c r="AD198" s="363">
        <v>2340</v>
      </c>
      <c r="AE198" s="360"/>
      <c r="AF198" s="363">
        <v>1350</v>
      </c>
      <c r="AG198" s="360"/>
      <c r="AH198" s="363">
        <v>1179.75</v>
      </c>
      <c r="AI198" s="360"/>
      <c r="AJ198" s="363">
        <v>4869.75</v>
      </c>
      <c r="AK198" s="361">
        <v>0</v>
      </c>
      <c r="AL198" s="363">
        <v>7577.25</v>
      </c>
      <c r="AM198" s="361">
        <v>0</v>
      </c>
      <c r="AO198" s="363">
        <v>1260</v>
      </c>
      <c r="AP198" s="360"/>
      <c r="AQ198" s="363">
        <v>1125</v>
      </c>
      <c r="AR198" s="360"/>
      <c r="AS198" s="363">
        <v>907.5</v>
      </c>
      <c r="AT198" s="360"/>
      <c r="AU198" s="363">
        <v>3292.5</v>
      </c>
      <c r="AV198" s="361">
        <v>0</v>
      </c>
    </row>
    <row r="199" spans="2:48" x14ac:dyDescent="0.25">
      <c r="B199" s="364" t="s">
        <v>572</v>
      </c>
      <c r="C199" t="s">
        <v>571</v>
      </c>
      <c r="D199" t="s">
        <v>1035</v>
      </c>
      <c r="E199" s="358">
        <v>11403.359999999995</v>
      </c>
      <c r="F199" s="359">
        <v>10138.849999999995</v>
      </c>
      <c r="G199" s="360"/>
      <c r="H199" s="361"/>
      <c r="I199" s="358">
        <v>7306.7142857142881</v>
      </c>
      <c r="J199" s="359">
        <v>6223.8857142857141</v>
      </c>
      <c r="K199" s="360"/>
      <c r="L199" s="361"/>
      <c r="M199" s="358">
        <v>7609.6349999999948</v>
      </c>
      <c r="N199" s="359">
        <v>6717.2233333333306</v>
      </c>
      <c r="O199" s="360"/>
      <c r="P199" s="361"/>
      <c r="Q199" s="358">
        <v>26319.709285714278</v>
      </c>
      <c r="R199" s="362">
        <v>23079.959047619039</v>
      </c>
      <c r="S199" s="360">
        <v>0</v>
      </c>
      <c r="T199" s="361"/>
      <c r="V199" s="363">
        <v>424.46</v>
      </c>
      <c r="W199" s="360"/>
      <c r="X199" s="363">
        <v>0</v>
      </c>
      <c r="Y199" s="360"/>
      <c r="Z199" s="363">
        <v>307.45</v>
      </c>
      <c r="AA199" s="360"/>
      <c r="AB199" s="359">
        <v>731.91</v>
      </c>
      <c r="AC199" s="360">
        <v>0</v>
      </c>
      <c r="AD199" s="363">
        <v>4807.46</v>
      </c>
      <c r="AE199" s="360"/>
      <c r="AF199" s="363">
        <v>1213.6285714285714</v>
      </c>
      <c r="AG199" s="360"/>
      <c r="AH199" s="363">
        <v>3553.0550000000007</v>
      </c>
      <c r="AI199" s="360"/>
      <c r="AJ199" s="363">
        <v>9574.1435714285726</v>
      </c>
      <c r="AK199" s="361">
        <v>0</v>
      </c>
      <c r="AL199" s="363">
        <v>10306.053571428572</v>
      </c>
      <c r="AM199" s="361">
        <v>0</v>
      </c>
      <c r="AO199" s="363">
        <v>0</v>
      </c>
      <c r="AP199" s="360"/>
      <c r="AQ199" s="363">
        <v>0</v>
      </c>
      <c r="AR199" s="360"/>
      <c r="AS199" s="363">
        <v>0</v>
      </c>
      <c r="AT199" s="360"/>
      <c r="AU199" s="363">
        <v>0</v>
      </c>
      <c r="AV199" s="361">
        <v>0</v>
      </c>
    </row>
    <row r="200" spans="2:48" x14ac:dyDescent="0.25">
      <c r="B200" s="364" t="s">
        <v>573</v>
      </c>
      <c r="C200">
        <v>2568273</v>
      </c>
      <c r="D200" t="s">
        <v>1036</v>
      </c>
      <c r="E200" s="358">
        <v>2017.5</v>
      </c>
      <c r="F200" s="359">
        <v>360</v>
      </c>
      <c r="G200" s="360"/>
      <c r="H200" s="361"/>
      <c r="I200" s="358">
        <v>2205</v>
      </c>
      <c r="J200" s="359">
        <v>765</v>
      </c>
      <c r="K200" s="360"/>
      <c r="L200" s="361"/>
      <c r="M200" s="358">
        <v>1149.5</v>
      </c>
      <c r="N200" s="359">
        <v>302.5</v>
      </c>
      <c r="O200" s="360"/>
      <c r="P200" s="361"/>
      <c r="Q200" s="358">
        <v>5372</v>
      </c>
      <c r="R200" s="362">
        <v>1427.5</v>
      </c>
      <c r="S200" s="360">
        <v>0</v>
      </c>
      <c r="T200" s="361"/>
      <c r="V200" s="363">
        <v>324</v>
      </c>
      <c r="W200" s="360"/>
      <c r="X200" s="363">
        <v>405</v>
      </c>
      <c r="Y200" s="360"/>
      <c r="Z200" s="363">
        <v>302.5</v>
      </c>
      <c r="AA200" s="360"/>
      <c r="AB200" s="359">
        <v>1031.5</v>
      </c>
      <c r="AC200" s="360">
        <v>0</v>
      </c>
      <c r="AD200" s="363">
        <v>1080</v>
      </c>
      <c r="AE200" s="360"/>
      <c r="AF200" s="363">
        <v>450</v>
      </c>
      <c r="AG200" s="360"/>
      <c r="AH200" s="363">
        <v>302.5</v>
      </c>
      <c r="AI200" s="360"/>
      <c r="AJ200" s="363">
        <v>1832.5</v>
      </c>
      <c r="AK200" s="361">
        <v>0</v>
      </c>
      <c r="AL200" s="363">
        <v>2864</v>
      </c>
      <c r="AM200" s="361">
        <v>0</v>
      </c>
      <c r="AO200" s="363">
        <v>144</v>
      </c>
      <c r="AP200" s="360"/>
      <c r="AQ200" s="363">
        <v>0</v>
      </c>
      <c r="AR200" s="360"/>
      <c r="AS200" s="363">
        <v>151.25</v>
      </c>
      <c r="AT200" s="360"/>
      <c r="AU200" s="363">
        <v>295.25</v>
      </c>
      <c r="AV200" s="361">
        <v>0</v>
      </c>
    </row>
    <row r="201" spans="2:48" x14ac:dyDescent="0.25">
      <c r="B201" s="364" t="s">
        <v>574</v>
      </c>
      <c r="C201">
        <v>509204</v>
      </c>
      <c r="D201" t="s">
        <v>1037</v>
      </c>
      <c r="E201" s="358">
        <v>5780.7299999999987</v>
      </c>
      <c r="F201" s="359">
        <v>5365.369999999999</v>
      </c>
      <c r="G201" s="360"/>
      <c r="H201" s="361"/>
      <c r="I201" s="358">
        <v>2662.2857142857142</v>
      </c>
      <c r="J201" s="359">
        <v>3268.8</v>
      </c>
      <c r="K201" s="360"/>
      <c r="L201" s="361"/>
      <c r="M201" s="358">
        <v>3676.0625000000005</v>
      </c>
      <c r="N201" s="359">
        <v>3986.9500000000007</v>
      </c>
      <c r="O201" s="360"/>
      <c r="P201" s="361"/>
      <c r="Q201" s="358">
        <v>12119.078214285713</v>
      </c>
      <c r="R201" s="362">
        <v>12621.119999999999</v>
      </c>
      <c r="S201" s="360">
        <v>0</v>
      </c>
      <c r="T201" s="361"/>
      <c r="V201" s="363">
        <v>359.92</v>
      </c>
      <c r="W201" s="360"/>
      <c r="X201" s="363">
        <v>383.31428571428575</v>
      </c>
      <c r="Y201" s="360"/>
      <c r="Z201" s="363">
        <v>0</v>
      </c>
      <c r="AA201" s="360"/>
      <c r="AB201" s="359">
        <v>743.23428571428576</v>
      </c>
      <c r="AC201" s="360">
        <v>0</v>
      </c>
      <c r="AD201" s="363">
        <v>2169.3200000000002</v>
      </c>
      <c r="AE201" s="360"/>
      <c r="AF201" s="363">
        <v>421.54285714285714</v>
      </c>
      <c r="AG201" s="360"/>
      <c r="AH201" s="363">
        <v>1631.2999999999997</v>
      </c>
      <c r="AI201" s="360"/>
      <c r="AJ201" s="363">
        <v>4222.1628571428573</v>
      </c>
      <c r="AK201" s="361">
        <v>0</v>
      </c>
      <c r="AL201" s="363">
        <v>4965.3971428571431</v>
      </c>
      <c r="AM201" s="361">
        <v>0</v>
      </c>
      <c r="AO201" s="363">
        <v>179.96</v>
      </c>
      <c r="AP201" s="360"/>
      <c r="AQ201" s="363">
        <v>191.65714285714287</v>
      </c>
      <c r="AR201" s="360"/>
      <c r="AS201" s="363">
        <v>0</v>
      </c>
      <c r="AT201" s="360"/>
      <c r="AU201" s="363">
        <v>371.61714285714288</v>
      </c>
      <c r="AV201" s="361">
        <v>0</v>
      </c>
    </row>
    <row r="202" spans="2:48" x14ac:dyDescent="0.25">
      <c r="B202" s="364" t="s">
        <v>576</v>
      </c>
      <c r="C202" t="s">
        <v>575</v>
      </c>
      <c r="D202" t="s">
        <v>1038</v>
      </c>
      <c r="E202" s="358">
        <v>607.5</v>
      </c>
      <c r="F202" s="359">
        <v>72</v>
      </c>
      <c r="G202" s="360"/>
      <c r="H202" s="361"/>
      <c r="I202" s="358">
        <v>0</v>
      </c>
      <c r="J202" s="359">
        <v>0</v>
      </c>
      <c r="K202" s="360"/>
      <c r="L202" s="361"/>
      <c r="M202" s="358">
        <v>0</v>
      </c>
      <c r="N202" s="359">
        <v>0</v>
      </c>
      <c r="O202" s="360"/>
      <c r="P202" s="361"/>
      <c r="Q202" s="358">
        <v>607.5</v>
      </c>
      <c r="R202" s="362">
        <v>72</v>
      </c>
      <c r="S202" s="360">
        <v>0</v>
      </c>
      <c r="T202" s="361"/>
      <c r="V202" s="363">
        <v>0</v>
      </c>
      <c r="W202" s="360"/>
      <c r="X202" s="363">
        <v>0</v>
      </c>
      <c r="Y202" s="360"/>
      <c r="Z202" s="363">
        <v>0</v>
      </c>
      <c r="AA202" s="360"/>
      <c r="AB202" s="359">
        <v>0</v>
      </c>
      <c r="AC202" s="360">
        <v>0</v>
      </c>
      <c r="AD202" s="363">
        <v>0</v>
      </c>
      <c r="AE202" s="360"/>
      <c r="AF202" s="363">
        <v>0</v>
      </c>
      <c r="AG202" s="360"/>
      <c r="AH202" s="363">
        <v>0</v>
      </c>
      <c r="AI202" s="360"/>
      <c r="AJ202" s="363">
        <v>0</v>
      </c>
      <c r="AK202" s="361">
        <v>0</v>
      </c>
      <c r="AL202" s="363">
        <v>0</v>
      </c>
      <c r="AM202" s="361">
        <v>0</v>
      </c>
      <c r="AO202" s="363">
        <v>0</v>
      </c>
      <c r="AP202" s="360"/>
      <c r="AQ202" s="363">
        <v>0</v>
      </c>
      <c r="AR202" s="360"/>
      <c r="AS202" s="363">
        <v>0</v>
      </c>
      <c r="AT202" s="360"/>
      <c r="AU202" s="363">
        <v>0</v>
      </c>
      <c r="AV202" s="361">
        <v>0</v>
      </c>
    </row>
    <row r="203" spans="2:48" ht="15" thickBot="1" x14ac:dyDescent="0.4">
      <c r="B203" s="347" t="s">
        <v>604</v>
      </c>
      <c r="C203" s="348"/>
      <c r="D203" s="348"/>
      <c r="E203" s="365">
        <v>854942.52</v>
      </c>
      <c r="F203" s="366">
        <v>319563.33</v>
      </c>
      <c r="G203" s="367">
        <v>0</v>
      </c>
      <c r="H203" s="368">
        <v>0</v>
      </c>
      <c r="I203" s="365">
        <v>690043.63571428577</v>
      </c>
      <c r="J203" s="366">
        <v>255775.40642857144</v>
      </c>
      <c r="K203" s="367">
        <v>0</v>
      </c>
      <c r="L203" s="368">
        <v>0</v>
      </c>
      <c r="M203" s="365">
        <v>631269.81719696976</v>
      </c>
      <c r="N203" s="366">
        <v>234665.09333333332</v>
      </c>
      <c r="O203" s="367">
        <v>0</v>
      </c>
      <c r="P203" s="368">
        <v>0</v>
      </c>
      <c r="Q203" s="365">
        <v>2176255.9729112554</v>
      </c>
      <c r="R203" s="369">
        <v>810003.82976190478</v>
      </c>
      <c r="S203" s="367">
        <v>0</v>
      </c>
      <c r="T203" s="368">
        <v>0</v>
      </c>
      <c r="U203" s="348"/>
      <c r="V203" s="370">
        <v>330561.53000000003</v>
      </c>
      <c r="W203" s="367">
        <v>0</v>
      </c>
      <c r="X203" s="370">
        <v>219360.00142857144</v>
      </c>
      <c r="Y203" s="367">
        <v>0</v>
      </c>
      <c r="Z203" s="370">
        <v>239706.83083333331</v>
      </c>
      <c r="AA203" s="367">
        <v>0</v>
      </c>
      <c r="AB203" s="366">
        <v>789628.36226190475</v>
      </c>
      <c r="AC203" s="367">
        <v>0</v>
      </c>
      <c r="AD203" s="370">
        <v>273755.01</v>
      </c>
      <c r="AE203" s="367">
        <v>0</v>
      </c>
      <c r="AF203" s="370">
        <v>166097.11000000002</v>
      </c>
      <c r="AG203" s="367">
        <v>0</v>
      </c>
      <c r="AH203" s="370">
        <v>194155.00583333336</v>
      </c>
      <c r="AI203" s="367">
        <v>0</v>
      </c>
      <c r="AJ203" s="370">
        <v>634007.12583333347</v>
      </c>
      <c r="AK203" s="368">
        <v>0</v>
      </c>
      <c r="AL203" s="370">
        <v>1423635.4880952383</v>
      </c>
      <c r="AM203" s="368">
        <v>0</v>
      </c>
      <c r="AN203" s="348"/>
      <c r="AO203" s="370">
        <v>144792.32000000001</v>
      </c>
      <c r="AP203" s="367">
        <v>0</v>
      </c>
      <c r="AQ203" s="370">
        <v>96282.647142857139</v>
      </c>
      <c r="AR203" s="367">
        <v>0</v>
      </c>
      <c r="AS203" s="370">
        <v>96520.16</v>
      </c>
      <c r="AT203" s="367">
        <v>0</v>
      </c>
      <c r="AU203" s="370">
        <v>337595.12714285718</v>
      </c>
      <c r="AV203" s="368">
        <v>0</v>
      </c>
    </row>
    <row r="204" spans="2:48" ht="15.5" thickTop="1" thickBot="1" x14ac:dyDescent="0.4">
      <c r="B204" s="347" t="s">
        <v>1039</v>
      </c>
      <c r="C204" s="348"/>
      <c r="D204" s="348"/>
      <c r="E204" s="371">
        <v>4749.6806666666671</v>
      </c>
      <c r="F204" s="372">
        <v>1775.3518333333334</v>
      </c>
      <c r="G204" s="373">
        <v>0</v>
      </c>
      <c r="H204" s="374">
        <v>0</v>
      </c>
      <c r="I204" s="371">
        <v>3833.575753968254</v>
      </c>
      <c r="J204" s="372">
        <v>1420.9744801587301</v>
      </c>
      <c r="K204" s="373">
        <v>0</v>
      </c>
      <c r="L204" s="374">
        <v>0</v>
      </c>
      <c r="M204" s="371">
        <v>3507.0545399831653</v>
      </c>
      <c r="N204" s="372">
        <v>1303.694962962963</v>
      </c>
      <c r="O204" s="373">
        <v>0</v>
      </c>
      <c r="P204" s="374">
        <v>0</v>
      </c>
      <c r="Q204" s="371">
        <v>12090.310960618086</v>
      </c>
      <c r="R204" s="375">
        <v>4500.0212764550261</v>
      </c>
      <c r="S204" s="373">
        <v>0</v>
      </c>
      <c r="T204" s="374">
        <v>0</v>
      </c>
      <c r="U204" s="348">
        <v>0</v>
      </c>
      <c r="V204" s="376">
        <v>1836.4529444444447</v>
      </c>
      <c r="W204" s="373">
        <v>0</v>
      </c>
      <c r="X204" s="376">
        <v>1218.6666746031747</v>
      </c>
      <c r="Y204" s="373">
        <v>0</v>
      </c>
      <c r="Z204" s="376">
        <v>1331.7046157407408</v>
      </c>
      <c r="AA204" s="373">
        <v>0</v>
      </c>
      <c r="AB204" s="372">
        <v>4386.8242347883597</v>
      </c>
      <c r="AC204" s="373">
        <v>0</v>
      </c>
      <c r="AD204" s="376">
        <v>1520.8611666666666</v>
      </c>
      <c r="AE204" s="373">
        <v>0</v>
      </c>
      <c r="AF204" s="376">
        <v>922.76172222222226</v>
      </c>
      <c r="AG204" s="373">
        <v>0</v>
      </c>
      <c r="AH204" s="376">
        <v>1078.6389212962963</v>
      </c>
      <c r="AI204" s="373">
        <v>0</v>
      </c>
      <c r="AJ204" s="376">
        <v>3522.2618101851858</v>
      </c>
      <c r="AK204" s="374">
        <v>0</v>
      </c>
      <c r="AL204" s="376">
        <v>7909.0860449735464</v>
      </c>
      <c r="AM204" s="374">
        <v>0</v>
      </c>
      <c r="AN204" s="348">
        <v>0</v>
      </c>
      <c r="AO204" s="376">
        <v>804.40177777777774</v>
      </c>
      <c r="AP204" s="367">
        <v>0</v>
      </c>
      <c r="AQ204" s="376">
        <v>534.90359523809525</v>
      </c>
      <c r="AR204" s="367">
        <v>0</v>
      </c>
      <c r="AS204" s="376">
        <v>536.22311111111117</v>
      </c>
      <c r="AT204" s="367">
        <v>0</v>
      </c>
      <c r="AU204" s="376">
        <v>1875.5284841269845</v>
      </c>
      <c r="AV204" s="368">
        <v>0</v>
      </c>
    </row>
    <row r="205" spans="2:48" ht="13" thickTop="1" x14ac:dyDescent="0.25"/>
    <row r="208" spans="2:48" ht="14.5" x14ac:dyDescent="0.35">
      <c r="C208" s="406" t="s">
        <v>1085</v>
      </c>
      <c r="D208" s="406"/>
      <c r="E208" s="407">
        <v>100000</v>
      </c>
      <c r="F208" s="407">
        <v>3.2705157274798253</v>
      </c>
      <c r="G208" s="407"/>
      <c r="H208" s="407">
        <v>5.25</v>
      </c>
      <c r="I208" s="407">
        <v>0.6</v>
      </c>
      <c r="J208" s="407">
        <v>0.2</v>
      </c>
      <c r="K208" s="407">
        <v>0.2</v>
      </c>
    </row>
    <row r="209" spans="1:12" ht="13" thickBot="1" x14ac:dyDescent="0.3"/>
    <row r="210" spans="1:12" ht="15" thickBot="1" x14ac:dyDescent="0.4">
      <c r="B210" s="379" t="s">
        <v>1086</v>
      </c>
      <c r="C210" s="379" t="s">
        <v>1087</v>
      </c>
      <c r="E210" s="408">
        <v>100000</v>
      </c>
      <c r="F210" s="408">
        <v>4.0448687360351299</v>
      </c>
      <c r="G210" s="409"/>
      <c r="H210" s="408">
        <v>5.52</v>
      </c>
      <c r="I210" s="408">
        <v>0.6</v>
      </c>
      <c r="J210" s="408">
        <v>0.2</v>
      </c>
      <c r="K210" s="408">
        <v>0.2</v>
      </c>
    </row>
    <row r="211" spans="1:12" ht="15" thickBot="1" x14ac:dyDescent="0.4">
      <c r="C211" s="379"/>
      <c r="F211" s="410">
        <f>F210-F208</f>
        <v>0.77435300855530453</v>
      </c>
      <c r="G211" s="411">
        <f>F211/F208</f>
        <v>0.23676785959136815</v>
      </c>
      <c r="H211" s="410">
        <f>H210-H208</f>
        <v>0.26999999999999957</v>
      </c>
      <c r="I211" s="411">
        <f>H211/H208</f>
        <v>5.1428571428571344E-2</v>
      </c>
    </row>
    <row r="212" spans="1:12" ht="15" thickBot="1" x14ac:dyDescent="0.4">
      <c r="E212" s="756" t="s">
        <v>1088</v>
      </c>
      <c r="F212" s="757"/>
      <c r="G212" s="757"/>
      <c r="H212" s="757"/>
      <c r="I212" s="757"/>
      <c r="J212" s="757"/>
      <c r="K212" s="757"/>
      <c r="L212" s="758"/>
    </row>
    <row r="213" spans="1:12" ht="58" x14ac:dyDescent="0.35">
      <c r="B213" s="379"/>
      <c r="C213" s="379" t="s">
        <v>598</v>
      </c>
      <c r="D213" s="378" t="s">
        <v>805</v>
      </c>
      <c r="E213" s="412" t="s">
        <v>599</v>
      </c>
      <c r="F213" s="413" t="s">
        <v>600</v>
      </c>
      <c r="G213" s="414" t="s">
        <v>1089</v>
      </c>
      <c r="H213" s="413" t="s">
        <v>601</v>
      </c>
      <c r="I213" s="413" t="s">
        <v>602</v>
      </c>
      <c r="J213" s="413" t="s">
        <v>603</v>
      </c>
      <c r="K213" s="413" t="s">
        <v>176</v>
      </c>
      <c r="L213" s="415" t="s">
        <v>1090</v>
      </c>
    </row>
    <row r="214" spans="1:12" ht="14.5" x14ac:dyDescent="0.35">
      <c r="B214" s="379" t="s">
        <v>828</v>
      </c>
      <c r="C214" s="379"/>
      <c r="D214" s="379"/>
      <c r="E214" s="416"/>
      <c r="F214" s="417"/>
      <c r="G214" s="418"/>
      <c r="H214" s="417"/>
      <c r="I214" s="417"/>
      <c r="J214" s="417"/>
      <c r="K214" s="417">
        <f t="shared" ref="K214" si="0">SUM(K215:K221)</f>
        <v>0</v>
      </c>
      <c r="L214" s="419">
        <f>SUM(E214:K214)</f>
        <v>0</v>
      </c>
    </row>
    <row r="215" spans="1:12" x14ac:dyDescent="0.25">
      <c r="A215" s="594">
        <v>112479</v>
      </c>
      <c r="B215" t="s">
        <v>324</v>
      </c>
      <c r="C215">
        <v>1014</v>
      </c>
      <c r="D215" s="357" t="s">
        <v>829</v>
      </c>
      <c r="E215" s="420"/>
      <c r="F215" s="421"/>
      <c r="G215" s="422"/>
      <c r="H215" s="421"/>
      <c r="I215" s="421"/>
      <c r="J215" s="421"/>
      <c r="K215" s="421">
        <v>0</v>
      </c>
      <c r="L215" s="423">
        <f t="shared" ref="L215:L221" si="1">SUM(E215:K215)</f>
        <v>0</v>
      </c>
    </row>
    <row r="216" spans="1:12" x14ac:dyDescent="0.25">
      <c r="A216" s="594">
        <v>112472</v>
      </c>
      <c r="B216" t="s">
        <v>325</v>
      </c>
      <c r="C216">
        <v>1006</v>
      </c>
      <c r="D216" t="s">
        <v>830</v>
      </c>
      <c r="E216" s="420"/>
      <c r="F216" s="421"/>
      <c r="G216" s="422"/>
      <c r="H216" s="421"/>
      <c r="I216" s="421"/>
      <c r="J216" s="421"/>
      <c r="K216" s="421">
        <v>0</v>
      </c>
      <c r="L216" s="423">
        <f t="shared" si="1"/>
        <v>0</v>
      </c>
    </row>
    <row r="217" spans="1:12" x14ac:dyDescent="0.25">
      <c r="A217" s="594">
        <v>112474</v>
      </c>
      <c r="B217" t="s">
        <v>326</v>
      </c>
      <c r="C217">
        <v>1008</v>
      </c>
      <c r="D217" t="s">
        <v>831</v>
      </c>
      <c r="E217" s="420"/>
      <c r="F217" s="421"/>
      <c r="G217" s="422"/>
      <c r="H217" s="421"/>
      <c r="I217" s="421"/>
      <c r="J217" s="421"/>
      <c r="K217" s="421">
        <v>0</v>
      </c>
      <c r="L217" s="423">
        <f t="shared" si="1"/>
        <v>0</v>
      </c>
    </row>
    <row r="218" spans="1:12" x14ac:dyDescent="0.25">
      <c r="A218" s="594">
        <v>112471</v>
      </c>
      <c r="B218" t="s">
        <v>327</v>
      </c>
      <c r="C218">
        <v>1005</v>
      </c>
      <c r="D218" t="s">
        <v>832</v>
      </c>
      <c r="E218" s="420"/>
      <c r="F218" s="421"/>
      <c r="G218" s="422"/>
      <c r="H218" s="421"/>
      <c r="I218" s="421"/>
      <c r="J218" s="421"/>
      <c r="K218" s="421">
        <v>0</v>
      </c>
      <c r="L218" s="423">
        <f t="shared" si="1"/>
        <v>0</v>
      </c>
    </row>
    <row r="219" spans="1:12" x14ac:dyDescent="0.25">
      <c r="A219" s="594">
        <v>112476</v>
      </c>
      <c r="B219" t="s">
        <v>328</v>
      </c>
      <c r="C219">
        <v>1010</v>
      </c>
      <c r="D219" t="s">
        <v>833</v>
      </c>
      <c r="E219" s="420"/>
      <c r="F219" s="421"/>
      <c r="G219" s="422"/>
      <c r="H219" s="421"/>
      <c r="I219" s="421"/>
      <c r="J219" s="421"/>
      <c r="K219" s="421">
        <v>0</v>
      </c>
      <c r="L219" s="423">
        <f t="shared" si="1"/>
        <v>0</v>
      </c>
    </row>
    <row r="220" spans="1:12" x14ac:dyDescent="0.25">
      <c r="A220" s="594">
        <v>112475</v>
      </c>
      <c r="B220" t="s">
        <v>329</v>
      </c>
      <c r="C220">
        <v>1009</v>
      </c>
      <c r="D220" t="s">
        <v>834</v>
      </c>
      <c r="E220" s="420"/>
      <c r="F220" s="421"/>
      <c r="G220" s="422"/>
      <c r="H220" s="421"/>
      <c r="I220" s="421"/>
      <c r="J220" s="421"/>
      <c r="K220" s="421">
        <v>0</v>
      </c>
      <c r="L220" s="423">
        <f t="shared" si="1"/>
        <v>0</v>
      </c>
    </row>
    <row r="221" spans="1:12" x14ac:dyDescent="0.25">
      <c r="A221" s="594">
        <v>112480</v>
      </c>
      <c r="B221" t="s">
        <v>330</v>
      </c>
      <c r="C221">
        <v>1015</v>
      </c>
      <c r="D221" t="s">
        <v>835</v>
      </c>
      <c r="E221" s="420"/>
      <c r="F221" s="421"/>
      <c r="G221" s="422"/>
      <c r="H221" s="421"/>
      <c r="I221" s="421"/>
      <c r="J221" s="421"/>
      <c r="K221" s="421">
        <v>0</v>
      </c>
      <c r="L221" s="423">
        <f t="shared" si="1"/>
        <v>0</v>
      </c>
    </row>
  </sheetData>
  <mergeCells count="6">
    <mergeCell ref="AO3:AV3"/>
    <mergeCell ref="E212:L212"/>
    <mergeCell ref="V2:AM2"/>
    <mergeCell ref="E3:T3"/>
    <mergeCell ref="V3:AC3"/>
    <mergeCell ref="AD3:AK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18CF-DD97-4437-9FCF-1F59EEE79AF2}">
  <sheetPr codeName="Sheet16">
    <tabColor rgb="FF7030A0"/>
  </sheetPr>
  <dimension ref="A1:N217"/>
  <sheetViews>
    <sheetView zoomScaleNormal="100" workbookViewId="0">
      <selection activeCell="M6" sqref="M6:N6"/>
    </sheetView>
  </sheetViews>
  <sheetFormatPr defaultRowHeight="12.5" x14ac:dyDescent="0.25"/>
  <cols>
    <col min="5" max="5" width="0" hidden="1" customWidth="1"/>
    <col min="7" max="7" width="0" hidden="1" customWidth="1"/>
    <col min="9" max="9" width="0" hidden="1" customWidth="1"/>
    <col min="11" max="11" width="0" hidden="1" customWidth="1"/>
  </cols>
  <sheetData>
    <row r="1" spans="1:14" ht="18.5" x14ac:dyDescent="0.45">
      <c r="A1" s="331" t="s">
        <v>802</v>
      </c>
    </row>
    <row r="2" spans="1:14" ht="13" thickBot="1" x14ac:dyDescent="0.3"/>
    <row r="3" spans="1:14" ht="15" thickBot="1" x14ac:dyDescent="0.4">
      <c r="D3" s="748" t="s">
        <v>804</v>
      </c>
      <c r="E3" s="749"/>
      <c r="F3" s="749"/>
      <c r="G3" s="749"/>
      <c r="H3" s="749"/>
      <c r="I3" s="749"/>
      <c r="J3" s="749"/>
      <c r="K3" s="750"/>
      <c r="L3" s="364"/>
    </row>
    <row r="4" spans="1:14" ht="87.5" thickBot="1" x14ac:dyDescent="0.4">
      <c r="A4" s="335" t="s">
        <v>1</v>
      </c>
      <c r="B4" s="336" t="s">
        <v>598</v>
      </c>
      <c r="C4" s="337" t="s">
        <v>805</v>
      </c>
      <c r="D4" s="341" t="s">
        <v>806</v>
      </c>
      <c r="E4" s="337" t="s">
        <v>808</v>
      </c>
      <c r="F4" s="341" t="s">
        <v>810</v>
      </c>
      <c r="G4" s="341" t="s">
        <v>812</v>
      </c>
      <c r="H4" s="341" t="s">
        <v>1040</v>
      </c>
      <c r="I4" s="341" t="s">
        <v>814</v>
      </c>
      <c r="J4" s="341" t="s">
        <v>816</v>
      </c>
      <c r="K4" s="344" t="s">
        <v>818</v>
      </c>
      <c r="L4" s="377"/>
      <c r="M4" s="378" t="s">
        <v>597</v>
      </c>
      <c r="N4" s="378" t="s">
        <v>755</v>
      </c>
    </row>
    <row r="5" spans="1:14" ht="15" thickBot="1" x14ac:dyDescent="0.4">
      <c r="A5" s="347" t="s">
        <v>828</v>
      </c>
      <c r="B5" s="348"/>
      <c r="C5" s="348"/>
      <c r="D5" s="354">
        <v>15972.016861219196</v>
      </c>
      <c r="E5" s="351">
        <v>0</v>
      </c>
      <c r="F5" s="354">
        <v>19039.750972762646</v>
      </c>
      <c r="G5" s="354">
        <v>0</v>
      </c>
      <c r="H5" s="354">
        <v>13085</v>
      </c>
      <c r="I5" s="354">
        <v>0</v>
      </c>
      <c r="J5" s="354">
        <v>48096.767833981838</v>
      </c>
      <c r="K5" s="352">
        <f t="shared" ref="K5:K36" si="0">E5+G5+I5</f>
        <v>0</v>
      </c>
      <c r="L5" s="355"/>
      <c r="M5" s="379"/>
      <c r="N5" s="379"/>
    </row>
    <row r="6" spans="1:14" ht="13" thickTop="1" x14ac:dyDescent="0.25">
      <c r="A6" s="356" t="s">
        <v>324</v>
      </c>
      <c r="B6">
        <v>1014</v>
      </c>
      <c r="C6" s="357" t="s">
        <v>829</v>
      </c>
      <c r="D6" s="363">
        <v>3456</v>
      </c>
      <c r="E6" s="360"/>
      <c r="F6" s="363">
        <v>3118.5875486381324</v>
      </c>
      <c r="G6" s="363"/>
      <c r="H6" s="363">
        <v>1881</v>
      </c>
      <c r="I6" s="363"/>
      <c r="J6" s="363">
        <v>8455.5875486381319</v>
      </c>
      <c r="K6" s="361">
        <f t="shared" si="0"/>
        <v>0</v>
      </c>
      <c r="M6" t="s">
        <v>607</v>
      </c>
      <c r="N6" t="s">
        <v>829</v>
      </c>
    </row>
    <row r="7" spans="1:14" x14ac:dyDescent="0.25">
      <c r="A7" s="364" t="s">
        <v>325</v>
      </c>
      <c r="B7">
        <v>1006</v>
      </c>
      <c r="C7" t="s">
        <v>830</v>
      </c>
      <c r="D7" s="363">
        <v>3151.822308690013</v>
      </c>
      <c r="E7" s="360"/>
      <c r="F7" s="363">
        <v>3991.3190661478598</v>
      </c>
      <c r="G7" s="363"/>
      <c r="H7" s="363">
        <v>2904</v>
      </c>
      <c r="I7" s="363"/>
      <c r="J7" s="363">
        <v>10047.141374837873</v>
      </c>
      <c r="K7" s="361">
        <f t="shared" si="0"/>
        <v>0</v>
      </c>
      <c r="M7" t="s">
        <v>612</v>
      </c>
      <c r="N7" t="s">
        <v>830</v>
      </c>
    </row>
    <row r="8" spans="1:14" x14ac:dyDescent="0.25">
      <c r="A8" s="364" t="s">
        <v>326</v>
      </c>
      <c r="B8">
        <v>1008</v>
      </c>
      <c r="C8" t="s">
        <v>831</v>
      </c>
      <c r="D8" s="363">
        <v>180</v>
      </c>
      <c r="E8" s="360"/>
      <c r="F8" s="363">
        <v>840</v>
      </c>
      <c r="G8" s="363"/>
      <c r="H8" s="363">
        <v>0</v>
      </c>
      <c r="I8" s="363"/>
      <c r="J8" s="363">
        <v>1020</v>
      </c>
      <c r="K8" s="361">
        <f t="shared" si="0"/>
        <v>0</v>
      </c>
      <c r="M8" t="s">
        <v>613</v>
      </c>
      <c r="N8" t="s">
        <v>831</v>
      </c>
    </row>
    <row r="9" spans="1:14" x14ac:dyDescent="0.25">
      <c r="A9" s="364" t="s">
        <v>327</v>
      </c>
      <c r="B9">
        <v>1005</v>
      </c>
      <c r="C9" t="s">
        <v>832</v>
      </c>
      <c r="D9" s="363">
        <v>3554.6420233463036</v>
      </c>
      <c r="E9" s="360"/>
      <c r="F9" s="363">
        <v>4540.5836575875483</v>
      </c>
      <c r="G9" s="363"/>
      <c r="H9" s="363">
        <v>2750</v>
      </c>
      <c r="I9" s="363"/>
      <c r="J9" s="363">
        <v>10845.225680933852</v>
      </c>
      <c r="K9" s="361">
        <f t="shared" si="0"/>
        <v>0</v>
      </c>
      <c r="M9" t="s">
        <v>614</v>
      </c>
      <c r="N9" t="s">
        <v>832</v>
      </c>
    </row>
    <row r="10" spans="1:14" x14ac:dyDescent="0.25">
      <c r="A10" s="364" t="s">
        <v>328</v>
      </c>
      <c r="B10">
        <v>1010</v>
      </c>
      <c r="C10" t="s">
        <v>833</v>
      </c>
      <c r="D10" s="363">
        <v>3110</v>
      </c>
      <c r="E10" s="360"/>
      <c r="F10" s="363">
        <v>3330</v>
      </c>
      <c r="G10" s="363"/>
      <c r="H10" s="363">
        <v>2910</v>
      </c>
      <c r="I10" s="363"/>
      <c r="J10" s="363">
        <v>9350</v>
      </c>
      <c r="K10" s="361">
        <f t="shared" si="0"/>
        <v>0</v>
      </c>
      <c r="M10" t="s">
        <v>626</v>
      </c>
      <c r="N10" t="s">
        <v>833</v>
      </c>
    </row>
    <row r="11" spans="1:14" x14ac:dyDescent="0.25">
      <c r="A11" s="364" t="s">
        <v>329</v>
      </c>
      <c r="B11">
        <v>1009</v>
      </c>
      <c r="C11" t="s">
        <v>834</v>
      </c>
      <c r="D11" s="363">
        <v>2519.5525291828794</v>
      </c>
      <c r="E11" s="360"/>
      <c r="F11" s="363">
        <v>2379.2607003891053</v>
      </c>
      <c r="G11" s="363"/>
      <c r="H11" s="363">
        <v>2640</v>
      </c>
      <c r="I11" s="363"/>
      <c r="J11" s="363">
        <v>7538.8132295719843</v>
      </c>
      <c r="K11" s="361">
        <f t="shared" si="0"/>
        <v>0</v>
      </c>
      <c r="M11" t="s">
        <v>627</v>
      </c>
      <c r="N11" t="s">
        <v>834</v>
      </c>
    </row>
    <row r="12" spans="1:14" x14ac:dyDescent="0.25">
      <c r="A12" s="364" t="s">
        <v>330</v>
      </c>
      <c r="B12">
        <v>1015</v>
      </c>
      <c r="C12" t="s">
        <v>835</v>
      </c>
      <c r="D12" s="363">
        <v>0</v>
      </c>
      <c r="E12" s="360"/>
      <c r="F12" s="363">
        <v>840</v>
      </c>
      <c r="G12" s="363"/>
      <c r="H12" s="363">
        <v>0</v>
      </c>
      <c r="I12" s="363"/>
      <c r="J12" s="363">
        <v>840</v>
      </c>
      <c r="K12" s="361">
        <f t="shared" si="0"/>
        <v>0</v>
      </c>
      <c r="M12" t="s">
        <v>628</v>
      </c>
      <c r="N12" t="s">
        <v>835</v>
      </c>
    </row>
    <row r="13" spans="1:14" ht="15" thickBot="1" x14ac:dyDescent="0.4">
      <c r="A13" s="347" t="s">
        <v>596</v>
      </c>
      <c r="B13" s="348"/>
      <c r="C13" s="348"/>
      <c r="D13" s="370">
        <v>3360.7898832684823</v>
      </c>
      <c r="E13" s="367">
        <v>0</v>
      </c>
      <c r="F13" s="370">
        <v>3193.229571984436</v>
      </c>
      <c r="G13" s="370">
        <v>0</v>
      </c>
      <c r="H13" s="370">
        <v>2970</v>
      </c>
      <c r="I13" s="370">
        <v>0</v>
      </c>
      <c r="J13" s="370">
        <v>9524.0194552529174</v>
      </c>
      <c r="K13" s="368">
        <f t="shared" si="0"/>
        <v>0</v>
      </c>
      <c r="L13" s="348"/>
      <c r="M13" s="379"/>
      <c r="N13">
        <v>0</v>
      </c>
    </row>
    <row r="14" spans="1:14" ht="13" thickTop="1" x14ac:dyDescent="0.25">
      <c r="A14" s="364" t="s">
        <v>71</v>
      </c>
      <c r="B14">
        <v>2443</v>
      </c>
      <c r="C14" t="s">
        <v>836</v>
      </c>
      <c r="D14" s="363">
        <v>0</v>
      </c>
      <c r="E14" s="360"/>
      <c r="F14" s="363">
        <v>960</v>
      </c>
      <c r="G14" s="363"/>
      <c r="H14" s="363">
        <v>0</v>
      </c>
      <c r="I14" s="363"/>
      <c r="J14" s="363">
        <v>960</v>
      </c>
      <c r="K14" s="361">
        <f t="shared" si="0"/>
        <v>0</v>
      </c>
      <c r="M14" t="s">
        <v>605</v>
      </c>
      <c r="N14" t="s">
        <v>836</v>
      </c>
    </row>
    <row r="15" spans="1:14" x14ac:dyDescent="0.25">
      <c r="A15" s="364" t="s">
        <v>65</v>
      </c>
      <c r="B15">
        <v>2405</v>
      </c>
      <c r="C15" t="s">
        <v>837</v>
      </c>
      <c r="D15" s="363">
        <v>0</v>
      </c>
      <c r="E15" s="360"/>
      <c r="F15" s="363">
        <v>0</v>
      </c>
      <c r="G15" s="363"/>
      <c r="H15" s="363">
        <v>0</v>
      </c>
      <c r="I15" s="363"/>
      <c r="J15" s="363">
        <v>0</v>
      </c>
      <c r="K15" s="361">
        <f t="shared" si="0"/>
        <v>0</v>
      </c>
      <c r="M15" t="s">
        <v>608</v>
      </c>
      <c r="N15" t="s">
        <v>837</v>
      </c>
    </row>
    <row r="16" spans="1:14" x14ac:dyDescent="0.25">
      <c r="A16" s="364" t="s">
        <v>609</v>
      </c>
      <c r="B16">
        <v>4177</v>
      </c>
      <c r="C16" t="s">
        <v>838</v>
      </c>
      <c r="D16" s="363">
        <v>0</v>
      </c>
      <c r="E16" s="360"/>
      <c r="F16" s="363">
        <v>0</v>
      </c>
      <c r="G16" s="363"/>
      <c r="H16" s="363">
        <v>0</v>
      </c>
      <c r="I16" s="363"/>
      <c r="J16" s="363">
        <v>0</v>
      </c>
      <c r="K16" s="361">
        <f t="shared" si="0"/>
        <v>0</v>
      </c>
      <c r="M16" t="s">
        <v>610</v>
      </c>
      <c r="N16" t="s">
        <v>838</v>
      </c>
    </row>
    <row r="17" spans="1:14" x14ac:dyDescent="0.25">
      <c r="A17" s="364" t="s">
        <v>73</v>
      </c>
      <c r="B17">
        <v>2449</v>
      </c>
      <c r="C17" t="s">
        <v>839</v>
      </c>
      <c r="D17" s="363">
        <v>0</v>
      </c>
      <c r="E17" s="360"/>
      <c r="F17" s="363">
        <v>0</v>
      </c>
      <c r="G17" s="363"/>
      <c r="H17" s="363">
        <v>0</v>
      </c>
      <c r="I17" s="363"/>
      <c r="J17" s="363">
        <v>0</v>
      </c>
      <c r="K17" s="361">
        <f t="shared" si="0"/>
        <v>0</v>
      </c>
      <c r="M17" t="s">
        <v>611</v>
      </c>
      <c r="N17" t="s">
        <v>839</v>
      </c>
    </row>
    <row r="18" spans="1:14" x14ac:dyDescent="0.25">
      <c r="A18" s="364" t="s">
        <v>74</v>
      </c>
      <c r="B18">
        <v>2452</v>
      </c>
      <c r="C18" t="s">
        <v>840</v>
      </c>
      <c r="D18" s="363">
        <v>120.7898832684825</v>
      </c>
      <c r="E18" s="360"/>
      <c r="F18" s="363">
        <v>0</v>
      </c>
      <c r="G18" s="363"/>
      <c r="H18" s="363">
        <v>0</v>
      </c>
      <c r="I18" s="363"/>
      <c r="J18" s="363">
        <v>120.7898832684825</v>
      </c>
      <c r="K18" s="361">
        <f t="shared" si="0"/>
        <v>0</v>
      </c>
      <c r="M18" t="s">
        <v>615</v>
      </c>
      <c r="N18" t="s">
        <v>840</v>
      </c>
    </row>
    <row r="19" spans="1:14" x14ac:dyDescent="0.25">
      <c r="A19" s="364" t="s">
        <v>616</v>
      </c>
      <c r="B19">
        <v>2473</v>
      </c>
      <c r="C19" t="s">
        <v>841</v>
      </c>
      <c r="D19" s="363">
        <v>0</v>
      </c>
      <c r="E19" s="360"/>
      <c r="F19" s="363">
        <v>0</v>
      </c>
      <c r="G19" s="363"/>
      <c r="H19" s="363">
        <v>0</v>
      </c>
      <c r="I19" s="363"/>
      <c r="J19" s="363">
        <v>0</v>
      </c>
      <c r="K19" s="361">
        <f t="shared" si="0"/>
        <v>0</v>
      </c>
      <c r="M19" t="s">
        <v>617</v>
      </c>
      <c r="N19" t="s">
        <v>841</v>
      </c>
    </row>
    <row r="20" spans="1:14" x14ac:dyDescent="0.25">
      <c r="A20" s="364" t="s">
        <v>63</v>
      </c>
      <c r="B20">
        <v>2003</v>
      </c>
      <c r="C20" t="s">
        <v>842</v>
      </c>
      <c r="D20" s="363">
        <v>0</v>
      </c>
      <c r="E20" s="360"/>
      <c r="F20" s="363">
        <v>0</v>
      </c>
      <c r="G20" s="363"/>
      <c r="H20" s="363">
        <v>0</v>
      </c>
      <c r="I20" s="363"/>
      <c r="J20" s="363">
        <v>0</v>
      </c>
      <c r="K20" s="361">
        <f t="shared" si="0"/>
        <v>0</v>
      </c>
      <c r="M20" t="s">
        <v>618</v>
      </c>
      <c r="N20" t="s">
        <v>842</v>
      </c>
    </row>
    <row r="21" spans="1:14" x14ac:dyDescent="0.25">
      <c r="A21" s="364" t="s">
        <v>78</v>
      </c>
      <c r="B21">
        <v>2462</v>
      </c>
      <c r="C21" t="s">
        <v>843</v>
      </c>
      <c r="D21" s="363">
        <v>0</v>
      </c>
      <c r="E21" s="360"/>
      <c r="F21" s="363">
        <v>0</v>
      </c>
      <c r="G21" s="363"/>
      <c r="H21" s="363">
        <v>0</v>
      </c>
      <c r="I21" s="363"/>
      <c r="J21" s="363">
        <v>0</v>
      </c>
      <c r="K21" s="361">
        <f t="shared" si="0"/>
        <v>0</v>
      </c>
      <c r="M21" t="s">
        <v>619</v>
      </c>
      <c r="N21" t="s">
        <v>843</v>
      </c>
    </row>
    <row r="22" spans="1:14" x14ac:dyDescent="0.25">
      <c r="A22" s="364" t="s">
        <v>81</v>
      </c>
      <c r="B22">
        <v>2505</v>
      </c>
      <c r="C22" t="s">
        <v>844</v>
      </c>
      <c r="D22" s="363">
        <v>0</v>
      </c>
      <c r="E22" s="360"/>
      <c r="F22" s="363">
        <v>0</v>
      </c>
      <c r="G22" s="363"/>
      <c r="H22" s="363">
        <v>0</v>
      </c>
      <c r="I22" s="363"/>
      <c r="J22" s="363">
        <v>0</v>
      </c>
      <c r="K22" s="361">
        <f t="shared" si="0"/>
        <v>0</v>
      </c>
      <c r="M22" t="s">
        <v>620</v>
      </c>
      <c r="N22" t="s">
        <v>844</v>
      </c>
    </row>
    <row r="23" spans="1:14" x14ac:dyDescent="0.25">
      <c r="A23" s="364" t="s">
        <v>62</v>
      </c>
      <c r="B23">
        <v>2001</v>
      </c>
      <c r="C23" t="s">
        <v>845</v>
      </c>
      <c r="D23" s="363">
        <v>0</v>
      </c>
      <c r="E23" s="360"/>
      <c r="F23" s="363">
        <v>0</v>
      </c>
      <c r="G23" s="363"/>
      <c r="H23" s="363">
        <v>0</v>
      </c>
      <c r="I23" s="363"/>
      <c r="J23" s="363">
        <v>0</v>
      </c>
      <c r="K23" s="361">
        <f t="shared" si="0"/>
        <v>0</v>
      </c>
      <c r="M23" t="s">
        <v>621</v>
      </c>
      <c r="N23" t="s">
        <v>845</v>
      </c>
    </row>
    <row r="24" spans="1:14" x14ac:dyDescent="0.25">
      <c r="A24" s="364" t="s">
        <v>68</v>
      </c>
      <c r="B24">
        <v>2429</v>
      </c>
      <c r="C24" t="s">
        <v>846</v>
      </c>
      <c r="D24" s="363">
        <v>1440</v>
      </c>
      <c r="E24" s="360"/>
      <c r="F24" s="363">
        <v>1620</v>
      </c>
      <c r="G24" s="363"/>
      <c r="H24" s="363">
        <v>1320</v>
      </c>
      <c r="I24" s="363"/>
      <c r="J24" s="363">
        <v>4380</v>
      </c>
      <c r="K24" s="361">
        <f t="shared" si="0"/>
        <v>0</v>
      </c>
      <c r="M24" t="s">
        <v>622</v>
      </c>
      <c r="N24" t="s">
        <v>846</v>
      </c>
    </row>
    <row r="25" spans="1:14" x14ac:dyDescent="0.25">
      <c r="A25" s="364" t="s">
        <v>72</v>
      </c>
      <c r="B25">
        <v>2444</v>
      </c>
      <c r="C25" t="s">
        <v>847</v>
      </c>
      <c r="D25" s="363">
        <v>0</v>
      </c>
      <c r="E25" s="360"/>
      <c r="F25" s="363">
        <v>0</v>
      </c>
      <c r="G25" s="363"/>
      <c r="H25" s="363">
        <v>0</v>
      </c>
      <c r="I25" s="363"/>
      <c r="J25" s="363">
        <v>0</v>
      </c>
      <c r="K25" s="361">
        <f t="shared" si="0"/>
        <v>0</v>
      </c>
      <c r="M25" t="s">
        <v>623</v>
      </c>
      <c r="N25" t="s">
        <v>847</v>
      </c>
    </row>
    <row r="26" spans="1:14" x14ac:dyDescent="0.25">
      <c r="A26" s="364" t="s">
        <v>624</v>
      </c>
      <c r="B26">
        <v>3526</v>
      </c>
      <c r="C26" t="s">
        <v>848</v>
      </c>
      <c r="D26" s="363">
        <v>1800</v>
      </c>
      <c r="E26" s="360"/>
      <c r="F26" s="363">
        <v>613.22957198443578</v>
      </c>
      <c r="G26" s="363"/>
      <c r="H26" s="363">
        <v>1650</v>
      </c>
      <c r="I26" s="363"/>
      <c r="J26" s="363">
        <v>4063.229571984436</v>
      </c>
      <c r="K26" s="361">
        <f t="shared" si="0"/>
        <v>0</v>
      </c>
      <c r="M26" t="s">
        <v>625</v>
      </c>
      <c r="N26" t="s">
        <v>848</v>
      </c>
    </row>
    <row r="27" spans="1:14" ht="15" thickBot="1" x14ac:dyDescent="0.4">
      <c r="A27" s="347" t="s">
        <v>263</v>
      </c>
      <c r="B27" s="348"/>
      <c r="C27" s="348"/>
      <c r="D27" s="370">
        <v>10267.677042801557</v>
      </c>
      <c r="E27" s="367">
        <v>0</v>
      </c>
      <c r="F27" s="370">
        <v>13691.019455252919</v>
      </c>
      <c r="G27" s="370">
        <v>0</v>
      </c>
      <c r="H27" s="370">
        <v>9720</v>
      </c>
      <c r="I27" s="370">
        <v>0</v>
      </c>
      <c r="J27" s="370">
        <v>33678.696498054473</v>
      </c>
      <c r="K27" s="368">
        <f t="shared" si="0"/>
        <v>0</v>
      </c>
      <c r="L27" s="348"/>
      <c r="M27" s="379"/>
      <c r="N27">
        <v>0</v>
      </c>
    </row>
    <row r="28" spans="1:14" ht="13" thickTop="1" x14ac:dyDescent="0.25">
      <c r="A28" s="364" t="s">
        <v>124</v>
      </c>
      <c r="B28">
        <v>2629</v>
      </c>
      <c r="C28" t="s">
        <v>849</v>
      </c>
      <c r="D28" s="363">
        <v>3639.2607003891053</v>
      </c>
      <c r="E28" s="360"/>
      <c r="F28" s="363">
        <v>5775</v>
      </c>
      <c r="G28" s="363"/>
      <c r="H28" s="363">
        <v>4455</v>
      </c>
      <c r="I28" s="363"/>
      <c r="J28" s="363">
        <v>13869.260700389106</v>
      </c>
      <c r="K28" s="361">
        <f t="shared" si="0"/>
        <v>0</v>
      </c>
      <c r="N28" t="s">
        <v>849</v>
      </c>
    </row>
    <row r="29" spans="1:14" x14ac:dyDescent="0.25">
      <c r="A29" s="364" t="s">
        <v>630</v>
      </c>
      <c r="B29">
        <v>2509</v>
      </c>
      <c r="C29" t="s">
        <v>850</v>
      </c>
      <c r="D29" s="363">
        <v>0</v>
      </c>
      <c r="E29" s="360"/>
      <c r="F29" s="363">
        <v>0</v>
      </c>
      <c r="G29" s="363"/>
      <c r="H29" s="363">
        <v>0</v>
      </c>
      <c r="I29" s="363"/>
      <c r="J29" s="363">
        <v>0</v>
      </c>
      <c r="K29" s="361">
        <f t="shared" si="0"/>
        <v>0</v>
      </c>
      <c r="N29" t="s">
        <v>850</v>
      </c>
    </row>
    <row r="30" spans="1:14" x14ac:dyDescent="0.25">
      <c r="A30" s="364" t="s">
        <v>631</v>
      </c>
      <c r="B30">
        <v>2021</v>
      </c>
      <c r="C30" t="s">
        <v>851</v>
      </c>
      <c r="D30" s="363">
        <v>0</v>
      </c>
      <c r="E30" s="360"/>
      <c r="F30" s="363">
        <v>0</v>
      </c>
      <c r="G30" s="363"/>
      <c r="H30" s="363">
        <v>0</v>
      </c>
      <c r="I30" s="363"/>
      <c r="J30" s="363">
        <v>0</v>
      </c>
      <c r="K30" s="361">
        <f t="shared" si="0"/>
        <v>0</v>
      </c>
      <c r="N30" t="s">
        <v>851</v>
      </c>
    </row>
    <row r="31" spans="1:14" x14ac:dyDescent="0.25">
      <c r="A31" s="364" t="s">
        <v>117</v>
      </c>
      <c r="B31">
        <v>2464</v>
      </c>
      <c r="C31" t="s">
        <v>852</v>
      </c>
      <c r="D31" s="363">
        <v>0</v>
      </c>
      <c r="E31" s="360"/>
      <c r="F31" s="363">
        <v>0</v>
      </c>
      <c r="G31" s="363"/>
      <c r="H31" s="363">
        <v>0</v>
      </c>
      <c r="I31" s="363"/>
      <c r="J31" s="363">
        <v>0</v>
      </c>
      <c r="K31" s="361">
        <f t="shared" si="0"/>
        <v>0</v>
      </c>
      <c r="N31" t="s">
        <v>852</v>
      </c>
    </row>
    <row r="32" spans="1:14" x14ac:dyDescent="0.25">
      <c r="A32" s="364" t="s">
        <v>89</v>
      </c>
      <c r="B32">
        <v>2004</v>
      </c>
      <c r="C32" t="s">
        <v>853</v>
      </c>
      <c r="D32" s="363">
        <v>0</v>
      </c>
      <c r="E32" s="360"/>
      <c r="F32" s="363">
        <v>0</v>
      </c>
      <c r="G32" s="363"/>
      <c r="H32" s="363">
        <v>0</v>
      </c>
      <c r="I32" s="363"/>
      <c r="J32" s="363">
        <v>0</v>
      </c>
      <c r="K32" s="361">
        <f t="shared" si="0"/>
        <v>0</v>
      </c>
      <c r="N32" t="s">
        <v>853</v>
      </c>
    </row>
    <row r="33" spans="1:14" x14ac:dyDescent="0.25">
      <c r="A33" s="364" t="s">
        <v>632</v>
      </c>
      <c r="B33">
        <v>2432</v>
      </c>
      <c r="C33" t="s">
        <v>854</v>
      </c>
      <c r="D33" s="363">
        <v>180</v>
      </c>
      <c r="E33" s="360"/>
      <c r="F33" s="363">
        <v>0</v>
      </c>
      <c r="G33" s="363"/>
      <c r="H33" s="363">
        <v>0</v>
      </c>
      <c r="I33" s="363"/>
      <c r="J33" s="363">
        <v>180</v>
      </c>
      <c r="K33" s="361">
        <f t="shared" si="0"/>
        <v>0</v>
      </c>
      <c r="N33" t="s">
        <v>854</v>
      </c>
    </row>
    <row r="34" spans="1:14" x14ac:dyDescent="0.25">
      <c r="A34" s="364" t="s">
        <v>101</v>
      </c>
      <c r="B34">
        <v>2018</v>
      </c>
      <c r="C34" t="s">
        <v>855</v>
      </c>
      <c r="D34" s="363">
        <v>2295</v>
      </c>
      <c r="E34" s="360"/>
      <c r="F34" s="363">
        <v>2580</v>
      </c>
      <c r="G34" s="363"/>
      <c r="H34" s="363">
        <v>2625</v>
      </c>
      <c r="I34" s="363"/>
      <c r="J34" s="363">
        <v>7500</v>
      </c>
      <c r="K34" s="361">
        <f t="shared" si="0"/>
        <v>0</v>
      </c>
      <c r="N34" t="s">
        <v>855</v>
      </c>
    </row>
    <row r="35" spans="1:14" x14ac:dyDescent="0.25">
      <c r="A35" s="364" t="s">
        <v>122</v>
      </c>
      <c r="B35">
        <v>2512</v>
      </c>
      <c r="C35" t="s">
        <v>856</v>
      </c>
      <c r="D35" s="363">
        <v>0</v>
      </c>
      <c r="E35" s="360"/>
      <c r="F35" s="363">
        <v>0</v>
      </c>
      <c r="G35" s="363"/>
      <c r="H35" s="363">
        <v>0</v>
      </c>
      <c r="I35" s="363"/>
      <c r="J35" s="363">
        <v>0</v>
      </c>
      <c r="K35" s="361">
        <f t="shared" si="0"/>
        <v>0</v>
      </c>
      <c r="N35" t="s">
        <v>856</v>
      </c>
    </row>
    <row r="36" spans="1:14" x14ac:dyDescent="0.25">
      <c r="A36" s="364" t="s">
        <v>633</v>
      </c>
      <c r="B36">
        <v>2011</v>
      </c>
      <c r="C36" t="s">
        <v>857</v>
      </c>
      <c r="D36" s="363">
        <v>0</v>
      </c>
      <c r="E36" s="360"/>
      <c r="F36" s="363">
        <v>0</v>
      </c>
      <c r="G36" s="363"/>
      <c r="H36" s="363">
        <v>0</v>
      </c>
      <c r="I36" s="363"/>
      <c r="J36" s="363">
        <v>0</v>
      </c>
      <c r="K36" s="361">
        <f t="shared" si="0"/>
        <v>0</v>
      </c>
      <c r="N36" t="s">
        <v>857</v>
      </c>
    </row>
    <row r="37" spans="1:14" x14ac:dyDescent="0.25">
      <c r="A37" s="364" t="s">
        <v>136</v>
      </c>
      <c r="B37">
        <v>5201</v>
      </c>
      <c r="C37" t="s">
        <v>858</v>
      </c>
      <c r="D37" s="363">
        <v>0</v>
      </c>
      <c r="E37" s="360"/>
      <c r="F37" s="363">
        <v>90</v>
      </c>
      <c r="G37" s="363"/>
      <c r="H37" s="363">
        <v>0</v>
      </c>
      <c r="I37" s="363"/>
      <c r="J37" s="363">
        <v>90</v>
      </c>
      <c r="K37" s="361">
        <f t="shared" ref="K37:K68" si="1">E37+G37+I37</f>
        <v>0</v>
      </c>
      <c r="N37" t="s">
        <v>858</v>
      </c>
    </row>
    <row r="38" spans="1:14" x14ac:dyDescent="0.25">
      <c r="A38" s="364" t="s">
        <v>634</v>
      </c>
      <c r="B38">
        <v>2456</v>
      </c>
      <c r="C38" t="s">
        <v>859</v>
      </c>
      <c r="D38" s="363">
        <v>0</v>
      </c>
      <c r="E38" s="360"/>
      <c r="F38" s="363">
        <v>588</v>
      </c>
      <c r="G38" s="363"/>
      <c r="H38" s="363">
        <v>0</v>
      </c>
      <c r="I38" s="363"/>
      <c r="J38" s="363">
        <v>588</v>
      </c>
      <c r="K38" s="361">
        <f t="shared" si="1"/>
        <v>0</v>
      </c>
      <c r="N38" t="s">
        <v>859</v>
      </c>
    </row>
    <row r="39" spans="1:14" x14ac:dyDescent="0.25">
      <c r="A39" s="364" t="s">
        <v>110</v>
      </c>
      <c r="B39">
        <v>2027</v>
      </c>
      <c r="C39" t="s">
        <v>756</v>
      </c>
      <c r="D39" s="363">
        <v>0</v>
      </c>
      <c r="E39" s="360"/>
      <c r="F39" s="363">
        <v>0</v>
      </c>
      <c r="G39" s="363"/>
      <c r="H39" s="363">
        <v>0</v>
      </c>
      <c r="I39" s="363"/>
      <c r="J39" s="363">
        <v>0</v>
      </c>
      <c r="K39" s="361">
        <f t="shared" si="1"/>
        <v>0</v>
      </c>
      <c r="N39" t="s">
        <v>756</v>
      </c>
    </row>
    <row r="40" spans="1:14" x14ac:dyDescent="0.25">
      <c r="A40" s="364" t="s">
        <v>119</v>
      </c>
      <c r="B40">
        <v>2467</v>
      </c>
      <c r="C40" t="s">
        <v>861</v>
      </c>
      <c r="D40" s="363">
        <v>0</v>
      </c>
      <c r="E40" s="360"/>
      <c r="F40" s="363">
        <v>0</v>
      </c>
      <c r="G40" s="363"/>
      <c r="H40" s="363">
        <v>0</v>
      </c>
      <c r="I40" s="363"/>
      <c r="J40" s="363">
        <v>0</v>
      </c>
      <c r="K40" s="361">
        <f t="shared" si="1"/>
        <v>0</v>
      </c>
      <c r="N40" t="s">
        <v>861</v>
      </c>
    </row>
    <row r="41" spans="1:14" x14ac:dyDescent="0.25">
      <c r="A41" s="364" t="s">
        <v>113</v>
      </c>
      <c r="B41">
        <v>2451</v>
      </c>
      <c r="C41" t="s">
        <v>862</v>
      </c>
      <c r="D41" s="363">
        <v>0</v>
      </c>
      <c r="E41" s="360"/>
      <c r="F41" s="363">
        <v>0</v>
      </c>
      <c r="G41" s="363"/>
      <c r="H41" s="363">
        <v>0</v>
      </c>
      <c r="I41" s="363"/>
      <c r="J41" s="363">
        <v>0</v>
      </c>
      <c r="K41" s="361">
        <f t="shared" si="1"/>
        <v>0</v>
      </c>
      <c r="N41" t="s">
        <v>862</v>
      </c>
    </row>
    <row r="42" spans="1:14" x14ac:dyDescent="0.25">
      <c r="A42" s="364" t="s">
        <v>635</v>
      </c>
      <c r="B42">
        <v>2023</v>
      </c>
      <c r="C42" t="s">
        <v>863</v>
      </c>
      <c r="D42" s="363">
        <v>0</v>
      </c>
      <c r="E42" s="360"/>
      <c r="F42" s="363">
        <v>0</v>
      </c>
      <c r="G42" s="363"/>
      <c r="H42" s="363">
        <v>0</v>
      </c>
      <c r="I42" s="363"/>
      <c r="J42" s="363">
        <v>0</v>
      </c>
      <c r="K42" s="361">
        <f t="shared" si="1"/>
        <v>0</v>
      </c>
      <c r="N42" t="s">
        <v>863</v>
      </c>
    </row>
    <row r="43" spans="1:14" x14ac:dyDescent="0.25">
      <c r="A43" s="364" t="s">
        <v>636</v>
      </c>
      <c r="B43">
        <v>2016</v>
      </c>
      <c r="C43" t="s">
        <v>864</v>
      </c>
      <c r="D43" s="363">
        <v>2664</v>
      </c>
      <c r="E43" s="360"/>
      <c r="F43" s="363">
        <v>210</v>
      </c>
      <c r="G43" s="363"/>
      <c r="H43" s="363">
        <v>2475</v>
      </c>
      <c r="I43" s="363"/>
      <c r="J43" s="363">
        <v>5349</v>
      </c>
      <c r="K43" s="361">
        <f t="shared" si="1"/>
        <v>0</v>
      </c>
      <c r="N43" t="s">
        <v>864</v>
      </c>
    </row>
    <row r="44" spans="1:14" x14ac:dyDescent="0.25">
      <c r="A44" s="364" t="s">
        <v>637</v>
      </c>
      <c r="B44">
        <v>2013</v>
      </c>
      <c r="C44" t="s">
        <v>865</v>
      </c>
      <c r="D44" s="363">
        <v>0</v>
      </c>
      <c r="E44" s="360"/>
      <c r="F44" s="363">
        <v>1625.2879377431907</v>
      </c>
      <c r="G44" s="363"/>
      <c r="H44" s="363">
        <v>0</v>
      </c>
      <c r="I44" s="363"/>
      <c r="J44" s="363">
        <v>1625.2879377431907</v>
      </c>
      <c r="K44" s="361">
        <f t="shared" si="1"/>
        <v>0</v>
      </c>
      <c r="N44" t="s">
        <v>865</v>
      </c>
    </row>
    <row r="45" spans="1:14" x14ac:dyDescent="0.25">
      <c r="A45" s="364" t="s">
        <v>638</v>
      </c>
      <c r="B45">
        <v>2010</v>
      </c>
      <c r="C45" t="s">
        <v>866</v>
      </c>
      <c r="D45" s="363">
        <v>0</v>
      </c>
      <c r="E45" s="360"/>
      <c r="F45" s="363">
        <v>0</v>
      </c>
      <c r="G45" s="363"/>
      <c r="H45" s="363">
        <v>0</v>
      </c>
      <c r="I45" s="363"/>
      <c r="J45" s="363">
        <v>0</v>
      </c>
      <c r="K45" s="361">
        <f t="shared" si="1"/>
        <v>0</v>
      </c>
      <c r="N45" t="s">
        <v>866</v>
      </c>
    </row>
    <row r="46" spans="1:14" x14ac:dyDescent="0.25">
      <c r="A46" s="364" t="s">
        <v>88</v>
      </c>
      <c r="B46">
        <v>2002</v>
      </c>
      <c r="C46" t="s">
        <v>867</v>
      </c>
      <c r="D46" s="363">
        <v>0</v>
      </c>
      <c r="E46" s="360"/>
      <c r="F46" s="363">
        <v>0</v>
      </c>
      <c r="G46" s="363"/>
      <c r="H46" s="363">
        <v>0</v>
      </c>
      <c r="I46" s="363"/>
      <c r="J46" s="363">
        <v>0</v>
      </c>
      <c r="K46" s="361">
        <f t="shared" si="1"/>
        <v>0</v>
      </c>
      <c r="N46" t="s">
        <v>867</v>
      </c>
    </row>
    <row r="47" spans="1:14" x14ac:dyDescent="0.25">
      <c r="A47" s="364" t="s">
        <v>639</v>
      </c>
      <c r="B47">
        <v>2006</v>
      </c>
      <c r="C47" t="s">
        <v>868</v>
      </c>
      <c r="D47" s="363">
        <v>0</v>
      </c>
      <c r="E47" s="360"/>
      <c r="F47" s="363">
        <v>0</v>
      </c>
      <c r="G47" s="363"/>
      <c r="H47" s="363">
        <v>0</v>
      </c>
      <c r="I47" s="363"/>
      <c r="J47" s="363">
        <v>0</v>
      </c>
      <c r="K47" s="361">
        <f t="shared" si="1"/>
        <v>0</v>
      </c>
      <c r="N47" t="s">
        <v>868</v>
      </c>
    </row>
    <row r="48" spans="1:14" x14ac:dyDescent="0.25">
      <c r="A48" s="364" t="s">
        <v>107</v>
      </c>
      <c r="B48">
        <v>2024</v>
      </c>
      <c r="C48" t="s">
        <v>869</v>
      </c>
      <c r="D48" s="363">
        <v>0</v>
      </c>
      <c r="E48" s="360"/>
      <c r="F48" s="363">
        <v>0</v>
      </c>
      <c r="G48" s="363"/>
      <c r="H48" s="363">
        <v>0</v>
      </c>
      <c r="I48" s="363"/>
      <c r="J48" s="363">
        <v>0</v>
      </c>
      <c r="K48" s="361">
        <f t="shared" si="1"/>
        <v>0</v>
      </c>
      <c r="N48" t="s">
        <v>869</v>
      </c>
    </row>
    <row r="49" spans="1:14" x14ac:dyDescent="0.25">
      <c r="A49" s="364" t="s">
        <v>133</v>
      </c>
      <c r="B49">
        <v>3544</v>
      </c>
      <c r="C49" t="s">
        <v>870</v>
      </c>
      <c r="D49" s="363">
        <v>0</v>
      </c>
      <c r="E49" s="360"/>
      <c r="F49" s="363">
        <v>0</v>
      </c>
      <c r="G49" s="363"/>
      <c r="H49" s="363">
        <v>0</v>
      </c>
      <c r="I49" s="363"/>
      <c r="J49" s="363">
        <v>0</v>
      </c>
      <c r="K49" s="361">
        <f t="shared" si="1"/>
        <v>0</v>
      </c>
      <c r="N49" t="s">
        <v>870</v>
      </c>
    </row>
    <row r="50" spans="1:14" x14ac:dyDescent="0.25">
      <c r="A50" s="364" t="s">
        <v>640</v>
      </c>
      <c r="B50">
        <v>2022</v>
      </c>
      <c r="C50" t="s">
        <v>871</v>
      </c>
      <c r="D50" s="363">
        <v>0</v>
      </c>
      <c r="E50" s="360"/>
      <c r="F50" s="363">
        <v>0</v>
      </c>
      <c r="G50" s="363"/>
      <c r="H50" s="363">
        <v>0</v>
      </c>
      <c r="I50" s="363"/>
      <c r="J50" s="363">
        <v>0</v>
      </c>
      <c r="K50" s="361">
        <f t="shared" si="1"/>
        <v>0</v>
      </c>
      <c r="N50" t="s">
        <v>871</v>
      </c>
    </row>
    <row r="51" spans="1:14" x14ac:dyDescent="0.25">
      <c r="A51" s="364" t="s">
        <v>641</v>
      </c>
      <c r="B51">
        <v>2020</v>
      </c>
      <c r="C51" t="s">
        <v>872</v>
      </c>
      <c r="D51" s="363">
        <v>0</v>
      </c>
      <c r="E51" s="360"/>
      <c r="F51" s="363">
        <v>0</v>
      </c>
      <c r="G51" s="363"/>
      <c r="H51" s="363">
        <v>0</v>
      </c>
      <c r="I51" s="363"/>
      <c r="J51" s="363">
        <v>0</v>
      </c>
      <c r="K51" s="361">
        <f t="shared" si="1"/>
        <v>0</v>
      </c>
      <c r="N51" t="s">
        <v>872</v>
      </c>
    </row>
    <row r="52" spans="1:14" x14ac:dyDescent="0.25">
      <c r="A52" s="364" t="s">
        <v>642</v>
      </c>
      <c r="B52">
        <v>2028</v>
      </c>
      <c r="C52" s="357" t="s">
        <v>873</v>
      </c>
      <c r="D52" s="363">
        <v>0</v>
      </c>
      <c r="E52" s="360"/>
      <c r="F52" s="363">
        <v>0</v>
      </c>
      <c r="G52" s="363"/>
      <c r="H52" s="363">
        <v>0</v>
      </c>
      <c r="I52" s="363"/>
      <c r="J52" s="363">
        <v>0</v>
      </c>
      <c r="K52" s="361">
        <f t="shared" si="1"/>
        <v>0</v>
      </c>
      <c r="N52" t="s">
        <v>873</v>
      </c>
    </row>
    <row r="53" spans="1:14" x14ac:dyDescent="0.25">
      <c r="A53" s="364" t="s">
        <v>643</v>
      </c>
      <c r="B53">
        <v>3543</v>
      </c>
      <c r="C53" t="s">
        <v>874</v>
      </c>
      <c r="D53" s="363">
        <v>0</v>
      </c>
      <c r="E53" s="360"/>
      <c r="F53" s="363">
        <v>0</v>
      </c>
      <c r="G53" s="363"/>
      <c r="H53" s="363">
        <v>0</v>
      </c>
      <c r="I53" s="363"/>
      <c r="J53" s="363">
        <v>0</v>
      </c>
      <c r="K53" s="361">
        <f t="shared" si="1"/>
        <v>0</v>
      </c>
      <c r="N53" t="s">
        <v>874</v>
      </c>
    </row>
    <row r="54" spans="1:14" x14ac:dyDescent="0.25">
      <c r="A54" s="364" t="s">
        <v>644</v>
      </c>
      <c r="B54">
        <v>3158</v>
      </c>
      <c r="C54" t="s">
        <v>875</v>
      </c>
      <c r="D54" s="363">
        <v>0</v>
      </c>
      <c r="E54" s="360"/>
      <c r="F54" s="363">
        <v>1035</v>
      </c>
      <c r="G54" s="363"/>
      <c r="H54" s="363">
        <v>165</v>
      </c>
      <c r="I54" s="363"/>
      <c r="J54" s="363">
        <v>1200</v>
      </c>
      <c r="K54" s="361">
        <f t="shared" si="1"/>
        <v>0</v>
      </c>
      <c r="N54" t="s">
        <v>875</v>
      </c>
    </row>
    <row r="55" spans="1:14" x14ac:dyDescent="0.25">
      <c r="A55" s="364" t="s">
        <v>645</v>
      </c>
      <c r="B55">
        <v>3528</v>
      </c>
      <c r="C55" t="s">
        <v>876</v>
      </c>
      <c r="D55" s="363">
        <v>0</v>
      </c>
      <c r="E55" s="360"/>
      <c r="F55" s="363">
        <v>0</v>
      </c>
      <c r="G55" s="363"/>
      <c r="H55" s="363">
        <v>0</v>
      </c>
      <c r="I55" s="363"/>
      <c r="J55" s="363">
        <v>0</v>
      </c>
      <c r="K55" s="361">
        <f t="shared" si="1"/>
        <v>0</v>
      </c>
      <c r="N55" t="s">
        <v>876</v>
      </c>
    </row>
    <row r="56" spans="1:14" x14ac:dyDescent="0.25">
      <c r="A56" s="364" t="s">
        <v>646</v>
      </c>
      <c r="B56">
        <v>3546</v>
      </c>
      <c r="C56" t="s">
        <v>877</v>
      </c>
      <c r="D56" s="363">
        <v>1489.4163424124513</v>
      </c>
      <c r="E56" s="360"/>
      <c r="F56" s="363">
        <v>1787.7315175097276</v>
      </c>
      <c r="G56" s="363"/>
      <c r="H56" s="363">
        <v>0</v>
      </c>
      <c r="I56" s="363"/>
      <c r="J56" s="363">
        <v>3277.1478599221791</v>
      </c>
      <c r="K56" s="361">
        <f t="shared" si="1"/>
        <v>0</v>
      </c>
      <c r="N56" t="s">
        <v>877</v>
      </c>
    </row>
    <row r="57" spans="1:14" x14ac:dyDescent="0.25">
      <c r="A57" s="364" t="s">
        <v>647</v>
      </c>
      <c r="B57">
        <v>3530</v>
      </c>
      <c r="C57" t="s">
        <v>878</v>
      </c>
      <c r="D57" s="363">
        <v>0</v>
      </c>
      <c r="E57" s="360"/>
      <c r="F57" s="363">
        <v>0</v>
      </c>
      <c r="G57" s="363"/>
      <c r="H57" s="363">
        <v>0</v>
      </c>
      <c r="I57" s="363"/>
      <c r="J57" s="363">
        <v>0</v>
      </c>
      <c r="K57" s="361">
        <f t="shared" si="1"/>
        <v>0</v>
      </c>
      <c r="N57" t="s">
        <v>878</v>
      </c>
    </row>
    <row r="58" spans="1:14" x14ac:dyDescent="0.25">
      <c r="A58" s="364" t="s">
        <v>648</v>
      </c>
      <c r="B58">
        <v>2007</v>
      </c>
      <c r="C58" t="s">
        <v>879</v>
      </c>
      <c r="D58" s="363">
        <v>0</v>
      </c>
      <c r="E58" s="360"/>
      <c r="F58" s="363">
        <v>0</v>
      </c>
      <c r="G58" s="363"/>
      <c r="H58" s="363">
        <v>0</v>
      </c>
      <c r="I58" s="363"/>
      <c r="J58" s="363">
        <v>0</v>
      </c>
      <c r="K58" s="361">
        <f t="shared" si="1"/>
        <v>0</v>
      </c>
      <c r="N58" t="s">
        <v>879</v>
      </c>
    </row>
    <row r="59" spans="1:14" x14ac:dyDescent="0.25">
      <c r="A59" s="364" t="s">
        <v>880</v>
      </c>
      <c r="B59">
        <v>4000</v>
      </c>
      <c r="C59" t="s">
        <v>649</v>
      </c>
      <c r="D59" s="363">
        <v>0</v>
      </c>
      <c r="E59" s="360"/>
      <c r="F59" s="363">
        <v>0</v>
      </c>
      <c r="G59" s="363"/>
      <c r="H59" s="363">
        <v>0</v>
      </c>
      <c r="I59" s="363"/>
      <c r="J59" s="363">
        <v>0</v>
      </c>
      <c r="K59" s="361">
        <f t="shared" si="1"/>
        <v>0</v>
      </c>
      <c r="N59" t="s">
        <v>649</v>
      </c>
    </row>
    <row r="60" spans="1:14" ht="15" thickBot="1" x14ac:dyDescent="0.4">
      <c r="A60" s="347" t="s">
        <v>881</v>
      </c>
      <c r="B60" s="348"/>
      <c r="C60" s="348"/>
      <c r="D60" s="370">
        <v>110434.62024643319</v>
      </c>
      <c r="E60" s="367">
        <v>0</v>
      </c>
      <c r="F60" s="370">
        <v>112524.50495460442</v>
      </c>
      <c r="G60" s="370">
        <v>0</v>
      </c>
      <c r="H60" s="370">
        <v>99936.6</v>
      </c>
      <c r="I60" s="370">
        <v>0</v>
      </c>
      <c r="J60" s="370">
        <v>322895.7252010376</v>
      </c>
      <c r="K60" s="368">
        <f t="shared" si="1"/>
        <v>0</v>
      </c>
      <c r="L60" s="348"/>
      <c r="M60" s="379"/>
      <c r="N60">
        <v>0</v>
      </c>
    </row>
    <row r="61" spans="1:14" ht="13" thickTop="1" x14ac:dyDescent="0.25">
      <c r="A61" s="364" t="s">
        <v>331</v>
      </c>
      <c r="B61">
        <v>206189</v>
      </c>
      <c r="C61" t="s">
        <v>882</v>
      </c>
      <c r="D61" s="363">
        <v>1350</v>
      </c>
      <c r="E61" s="360"/>
      <c r="F61" s="363">
        <v>705</v>
      </c>
      <c r="G61" s="363"/>
      <c r="H61" s="363">
        <v>1350</v>
      </c>
      <c r="I61" s="363"/>
      <c r="J61" s="363">
        <v>3405</v>
      </c>
      <c r="K61" s="361">
        <f t="shared" si="1"/>
        <v>0</v>
      </c>
      <c r="N61" t="s">
        <v>882</v>
      </c>
    </row>
    <row r="62" spans="1:14" x14ac:dyDescent="0.25">
      <c r="A62" s="364" t="s">
        <v>332</v>
      </c>
      <c r="B62" t="s">
        <v>652</v>
      </c>
      <c r="C62" t="s">
        <v>883</v>
      </c>
      <c r="D62" s="363">
        <v>3420</v>
      </c>
      <c r="E62" s="360"/>
      <c r="F62" s="363">
        <v>4410</v>
      </c>
      <c r="G62" s="363"/>
      <c r="H62" s="363">
        <v>3960</v>
      </c>
      <c r="I62" s="363"/>
      <c r="J62" s="363">
        <v>11790</v>
      </c>
      <c r="K62" s="361">
        <f t="shared" si="1"/>
        <v>0</v>
      </c>
      <c r="N62" t="s">
        <v>883</v>
      </c>
    </row>
    <row r="63" spans="1:14" x14ac:dyDescent="0.25">
      <c r="A63" s="364" t="s">
        <v>167</v>
      </c>
      <c r="B63" t="s">
        <v>335</v>
      </c>
      <c r="C63" t="s">
        <v>884</v>
      </c>
      <c r="D63" s="363">
        <v>2865</v>
      </c>
      <c r="E63" s="360"/>
      <c r="F63" s="363">
        <v>3224.7315175097278</v>
      </c>
      <c r="G63" s="363"/>
      <c r="H63" s="363">
        <v>1980</v>
      </c>
      <c r="I63" s="363"/>
      <c r="J63" s="363">
        <v>8069.7315175097283</v>
      </c>
      <c r="K63" s="361">
        <f t="shared" si="1"/>
        <v>0</v>
      </c>
      <c r="N63" t="s">
        <v>884</v>
      </c>
    </row>
    <row r="64" spans="1:14" x14ac:dyDescent="0.25">
      <c r="A64" s="364" t="s">
        <v>337</v>
      </c>
      <c r="B64" t="s">
        <v>336</v>
      </c>
      <c r="C64" t="s">
        <v>885</v>
      </c>
      <c r="D64" s="363">
        <v>2912.42</v>
      </c>
      <c r="E64" s="360"/>
      <c r="F64" s="363">
        <v>3132.3125291828796</v>
      </c>
      <c r="G64" s="363"/>
      <c r="H64" s="363">
        <v>2983.41</v>
      </c>
      <c r="I64" s="363"/>
      <c r="J64" s="363">
        <v>9028.14252918288</v>
      </c>
      <c r="K64" s="361">
        <f t="shared" si="1"/>
        <v>0</v>
      </c>
      <c r="N64" t="s">
        <v>885</v>
      </c>
    </row>
    <row r="65" spans="1:14" x14ac:dyDescent="0.25">
      <c r="A65" s="364" t="s">
        <v>338</v>
      </c>
      <c r="B65">
        <v>206124</v>
      </c>
      <c r="C65" t="s">
        <v>887</v>
      </c>
      <c r="D65" s="363">
        <v>720</v>
      </c>
      <c r="E65" s="360"/>
      <c r="F65" s="363">
        <v>630</v>
      </c>
      <c r="G65" s="363"/>
      <c r="H65" s="363">
        <v>0</v>
      </c>
      <c r="I65" s="363"/>
      <c r="J65" s="363">
        <v>1350</v>
      </c>
      <c r="K65" s="361">
        <f t="shared" si="1"/>
        <v>0</v>
      </c>
      <c r="N65" t="s">
        <v>887</v>
      </c>
    </row>
    <row r="66" spans="1:14" x14ac:dyDescent="0.25">
      <c r="A66" s="364" t="s">
        <v>886</v>
      </c>
      <c r="B66" t="s">
        <v>1041</v>
      </c>
      <c r="C66" t="s">
        <v>1041</v>
      </c>
      <c r="D66" s="363">
        <v>0</v>
      </c>
      <c r="E66" s="360"/>
      <c r="F66" s="363">
        <v>0</v>
      </c>
      <c r="G66" s="363"/>
      <c r="H66" s="363">
        <v>462</v>
      </c>
      <c r="I66" s="363"/>
      <c r="J66" s="363">
        <v>462</v>
      </c>
      <c r="K66" s="361">
        <f t="shared" si="1"/>
        <v>0</v>
      </c>
      <c r="N66" t="s">
        <v>1041</v>
      </c>
    </row>
    <row r="67" spans="1:14" x14ac:dyDescent="0.25">
      <c r="A67" s="364" t="s">
        <v>341</v>
      </c>
      <c r="B67">
        <v>206126</v>
      </c>
      <c r="C67" t="s">
        <v>888</v>
      </c>
      <c r="D67" s="363">
        <v>336</v>
      </c>
      <c r="E67" s="360"/>
      <c r="F67" s="363">
        <v>716.26070038910507</v>
      </c>
      <c r="G67" s="363"/>
      <c r="H67" s="363">
        <v>308</v>
      </c>
      <c r="I67" s="363"/>
      <c r="J67" s="363">
        <v>1360.2607003891051</v>
      </c>
      <c r="K67" s="361">
        <f t="shared" si="1"/>
        <v>0</v>
      </c>
      <c r="N67" t="s">
        <v>888</v>
      </c>
    </row>
    <row r="68" spans="1:14" x14ac:dyDescent="0.25">
      <c r="A68" s="364" t="s">
        <v>342</v>
      </c>
      <c r="B68">
        <v>206111</v>
      </c>
      <c r="C68" t="s">
        <v>889</v>
      </c>
      <c r="D68" s="363">
        <v>1260</v>
      </c>
      <c r="E68" s="360"/>
      <c r="F68" s="363">
        <v>975</v>
      </c>
      <c r="G68" s="363"/>
      <c r="H68" s="363">
        <v>1320</v>
      </c>
      <c r="I68" s="363"/>
      <c r="J68" s="363">
        <v>3555</v>
      </c>
      <c r="K68" s="361">
        <f t="shared" si="1"/>
        <v>0</v>
      </c>
      <c r="N68" t="s">
        <v>889</v>
      </c>
    </row>
    <row r="69" spans="1:14" x14ac:dyDescent="0.25">
      <c r="A69" s="364" t="s">
        <v>890</v>
      </c>
      <c r="B69" t="s">
        <v>891</v>
      </c>
      <c r="C69" t="s">
        <v>891</v>
      </c>
      <c r="D69" s="363">
        <v>1155</v>
      </c>
      <c r="E69" s="360"/>
      <c r="F69" s="363">
        <v>1680</v>
      </c>
      <c r="G69" s="363"/>
      <c r="H69" s="363">
        <v>660</v>
      </c>
      <c r="I69" s="363"/>
      <c r="J69" s="363">
        <v>3495</v>
      </c>
      <c r="K69" s="361">
        <f t="shared" ref="K69:K100" si="2">E69+G69+I69</f>
        <v>0</v>
      </c>
      <c r="N69" t="s">
        <v>891</v>
      </c>
    </row>
    <row r="70" spans="1:14" x14ac:dyDescent="0.25">
      <c r="A70" s="364" t="s">
        <v>343</v>
      </c>
      <c r="B70">
        <v>206091</v>
      </c>
      <c r="C70" t="s">
        <v>892</v>
      </c>
      <c r="D70" s="363">
        <v>1310.02</v>
      </c>
      <c r="E70" s="360"/>
      <c r="F70" s="363">
        <v>1771.5999999999997</v>
      </c>
      <c r="G70" s="363"/>
      <c r="H70" s="363">
        <v>1490.4</v>
      </c>
      <c r="I70" s="363"/>
      <c r="J70" s="363">
        <v>4572.0200000000004</v>
      </c>
      <c r="K70" s="361">
        <f t="shared" si="2"/>
        <v>0</v>
      </c>
      <c r="N70" t="s">
        <v>892</v>
      </c>
    </row>
    <row r="71" spans="1:14" x14ac:dyDescent="0.25">
      <c r="A71" s="364" t="s">
        <v>1042</v>
      </c>
      <c r="B71" t="s">
        <v>860</v>
      </c>
      <c r="C71" t="s">
        <v>860</v>
      </c>
      <c r="D71" s="363">
        <v>0</v>
      </c>
      <c r="E71" s="360"/>
      <c r="F71" s="363">
        <v>0</v>
      </c>
      <c r="G71" s="363"/>
      <c r="H71" s="363">
        <v>0</v>
      </c>
      <c r="I71" s="363"/>
      <c r="J71" s="363">
        <v>0</v>
      </c>
      <c r="K71" s="361">
        <f t="shared" si="2"/>
        <v>0</v>
      </c>
      <c r="N71" t="s">
        <v>860</v>
      </c>
    </row>
    <row r="72" spans="1:14" x14ac:dyDescent="0.25">
      <c r="A72" s="364" t="s">
        <v>344</v>
      </c>
      <c r="B72">
        <v>206128</v>
      </c>
      <c r="C72" t="s">
        <v>893</v>
      </c>
      <c r="D72" s="363">
        <v>540</v>
      </c>
      <c r="E72" s="360"/>
      <c r="F72" s="363">
        <v>420</v>
      </c>
      <c r="G72" s="363"/>
      <c r="H72" s="363">
        <v>480</v>
      </c>
      <c r="I72" s="363"/>
      <c r="J72" s="363">
        <v>1440</v>
      </c>
      <c r="K72" s="361">
        <f t="shared" si="2"/>
        <v>0</v>
      </c>
      <c r="N72" t="s">
        <v>893</v>
      </c>
    </row>
    <row r="73" spans="1:14" x14ac:dyDescent="0.25">
      <c r="A73" s="364" t="s">
        <v>345</v>
      </c>
      <c r="B73">
        <v>205999</v>
      </c>
      <c r="C73" t="s">
        <v>894</v>
      </c>
      <c r="D73" s="363">
        <v>180</v>
      </c>
      <c r="E73" s="360"/>
      <c r="F73" s="363">
        <v>0</v>
      </c>
      <c r="G73" s="363"/>
      <c r="H73" s="363">
        <v>165</v>
      </c>
      <c r="I73" s="363"/>
      <c r="J73" s="363">
        <v>345</v>
      </c>
      <c r="K73" s="361">
        <f t="shared" si="2"/>
        <v>0</v>
      </c>
      <c r="N73" t="s">
        <v>894</v>
      </c>
    </row>
    <row r="74" spans="1:14" x14ac:dyDescent="0.25">
      <c r="A74" s="364" t="s">
        <v>347</v>
      </c>
      <c r="B74" t="s">
        <v>346</v>
      </c>
      <c r="C74" t="s">
        <v>895</v>
      </c>
      <c r="D74" s="363">
        <v>0</v>
      </c>
      <c r="E74" s="360"/>
      <c r="F74" s="363">
        <v>0</v>
      </c>
      <c r="G74" s="363"/>
      <c r="H74" s="363">
        <v>165</v>
      </c>
      <c r="I74" s="363"/>
      <c r="J74" s="363">
        <v>165</v>
      </c>
      <c r="K74" s="361">
        <f t="shared" si="2"/>
        <v>0</v>
      </c>
      <c r="N74" t="s">
        <v>895</v>
      </c>
    </row>
    <row r="75" spans="1:14" x14ac:dyDescent="0.25">
      <c r="A75" s="364" t="s">
        <v>349</v>
      </c>
      <c r="B75" t="s">
        <v>348</v>
      </c>
      <c r="C75" t="s">
        <v>896</v>
      </c>
      <c r="D75" s="363">
        <v>180</v>
      </c>
      <c r="E75" s="360"/>
      <c r="F75" s="363">
        <v>210</v>
      </c>
      <c r="G75" s="363"/>
      <c r="H75" s="363">
        <v>165</v>
      </c>
      <c r="I75" s="363"/>
      <c r="J75" s="363">
        <v>555</v>
      </c>
      <c r="K75" s="361">
        <f t="shared" si="2"/>
        <v>0</v>
      </c>
      <c r="N75" t="s">
        <v>896</v>
      </c>
    </row>
    <row r="76" spans="1:14" x14ac:dyDescent="0.25">
      <c r="A76" s="364" t="s">
        <v>350</v>
      </c>
      <c r="B76">
        <v>205921</v>
      </c>
      <c r="C76" t="s">
        <v>897</v>
      </c>
      <c r="D76" s="363">
        <v>0</v>
      </c>
      <c r="E76" s="360"/>
      <c r="F76" s="363">
        <v>0</v>
      </c>
      <c r="G76" s="363"/>
      <c r="H76" s="363">
        <v>330</v>
      </c>
      <c r="I76" s="363"/>
      <c r="J76" s="363">
        <v>330</v>
      </c>
      <c r="K76" s="361">
        <f t="shared" si="2"/>
        <v>0</v>
      </c>
      <c r="N76" t="s">
        <v>897</v>
      </c>
    </row>
    <row r="77" spans="1:14" x14ac:dyDescent="0.25">
      <c r="A77" s="364" t="s">
        <v>351</v>
      </c>
      <c r="B77">
        <v>206011</v>
      </c>
      <c r="C77" t="s">
        <v>898</v>
      </c>
      <c r="D77" s="363">
        <v>180</v>
      </c>
      <c r="E77" s="360"/>
      <c r="F77" s="363">
        <v>210</v>
      </c>
      <c r="G77" s="363"/>
      <c r="H77" s="363">
        <v>0</v>
      </c>
      <c r="I77" s="363"/>
      <c r="J77" s="363">
        <v>390</v>
      </c>
      <c r="K77" s="361">
        <f t="shared" si="2"/>
        <v>0</v>
      </c>
      <c r="N77" t="s">
        <v>898</v>
      </c>
    </row>
    <row r="78" spans="1:14" x14ac:dyDescent="0.25">
      <c r="A78" s="364" t="s">
        <v>352</v>
      </c>
      <c r="B78" t="s">
        <v>899</v>
      </c>
      <c r="C78" t="s">
        <v>899</v>
      </c>
      <c r="D78" s="363">
        <v>0</v>
      </c>
      <c r="E78" s="360"/>
      <c r="F78" s="363">
        <v>0</v>
      </c>
      <c r="G78" s="363"/>
      <c r="H78" s="363">
        <v>165</v>
      </c>
      <c r="I78" s="363"/>
      <c r="J78" s="363">
        <v>165</v>
      </c>
      <c r="K78" s="361">
        <f t="shared" si="2"/>
        <v>0</v>
      </c>
      <c r="N78" t="s">
        <v>899</v>
      </c>
    </row>
    <row r="79" spans="1:14" x14ac:dyDescent="0.25">
      <c r="A79" s="364" t="s">
        <v>356</v>
      </c>
      <c r="B79" t="s">
        <v>355</v>
      </c>
      <c r="C79" t="s">
        <v>900</v>
      </c>
      <c r="D79" s="363">
        <v>360</v>
      </c>
      <c r="E79" s="360"/>
      <c r="F79" s="363">
        <v>0</v>
      </c>
      <c r="G79" s="363"/>
      <c r="H79" s="363">
        <v>165</v>
      </c>
      <c r="I79" s="363"/>
      <c r="J79" s="363">
        <v>525</v>
      </c>
      <c r="K79" s="361">
        <f t="shared" si="2"/>
        <v>0</v>
      </c>
      <c r="N79" t="s">
        <v>900</v>
      </c>
    </row>
    <row r="80" spans="1:14" x14ac:dyDescent="0.25">
      <c r="A80" s="364" t="s">
        <v>358</v>
      </c>
      <c r="B80" t="s">
        <v>357</v>
      </c>
      <c r="C80" t="s">
        <v>901</v>
      </c>
      <c r="D80" s="363">
        <v>180</v>
      </c>
      <c r="E80" s="360"/>
      <c r="F80" s="363">
        <v>0</v>
      </c>
      <c r="G80" s="363"/>
      <c r="H80" s="363">
        <v>165</v>
      </c>
      <c r="I80" s="363"/>
      <c r="J80" s="363">
        <v>345</v>
      </c>
      <c r="K80" s="361">
        <f t="shared" si="2"/>
        <v>0</v>
      </c>
      <c r="N80" t="s">
        <v>901</v>
      </c>
    </row>
    <row r="81" spans="1:14" x14ac:dyDescent="0.25">
      <c r="A81" s="364" t="s">
        <v>360</v>
      </c>
      <c r="B81" t="s">
        <v>359</v>
      </c>
      <c r="C81" t="s">
        <v>902</v>
      </c>
      <c r="D81" s="363">
        <v>0</v>
      </c>
      <c r="E81" s="360"/>
      <c r="F81" s="363">
        <v>0</v>
      </c>
      <c r="G81" s="363"/>
      <c r="H81" s="363">
        <v>165</v>
      </c>
      <c r="I81" s="363"/>
      <c r="J81" s="363">
        <v>165</v>
      </c>
      <c r="K81" s="361">
        <f t="shared" si="2"/>
        <v>0</v>
      </c>
      <c r="N81" t="s">
        <v>902</v>
      </c>
    </row>
    <row r="82" spans="1:14" x14ac:dyDescent="0.25">
      <c r="A82" s="364" t="s">
        <v>361</v>
      </c>
      <c r="B82">
        <v>2549324</v>
      </c>
      <c r="C82" t="s">
        <v>903</v>
      </c>
      <c r="D82" s="363">
        <v>1080</v>
      </c>
      <c r="E82" s="360"/>
      <c r="F82" s="363">
        <v>1050</v>
      </c>
      <c r="G82" s="363"/>
      <c r="H82" s="363">
        <v>1155</v>
      </c>
      <c r="I82" s="363"/>
      <c r="J82" s="363">
        <v>3285</v>
      </c>
      <c r="K82" s="361">
        <f t="shared" si="2"/>
        <v>0</v>
      </c>
      <c r="N82" t="s">
        <v>903</v>
      </c>
    </row>
    <row r="83" spans="1:14" x14ac:dyDescent="0.25">
      <c r="A83" s="364" t="s">
        <v>904</v>
      </c>
      <c r="B83" t="s">
        <v>905</v>
      </c>
      <c r="C83" t="s">
        <v>905</v>
      </c>
      <c r="D83" s="363">
        <v>0</v>
      </c>
      <c r="E83" s="360"/>
      <c r="F83" s="363">
        <v>0</v>
      </c>
      <c r="G83" s="363"/>
      <c r="H83" s="363">
        <v>0</v>
      </c>
      <c r="I83" s="363"/>
      <c r="J83" s="363">
        <v>0</v>
      </c>
      <c r="K83" s="361">
        <f t="shared" si="2"/>
        <v>0</v>
      </c>
      <c r="N83" t="s">
        <v>905</v>
      </c>
    </row>
    <row r="84" spans="1:14" x14ac:dyDescent="0.25">
      <c r="A84" s="364" t="s">
        <v>1043</v>
      </c>
      <c r="B84" s="357" t="s">
        <v>1044</v>
      </c>
      <c r="C84" s="357" t="s">
        <v>1044</v>
      </c>
      <c r="D84" s="363">
        <v>180</v>
      </c>
      <c r="E84" s="360"/>
      <c r="F84" s="363">
        <v>210</v>
      </c>
      <c r="G84" s="363"/>
      <c r="H84" s="363">
        <v>0</v>
      </c>
      <c r="I84" s="363"/>
      <c r="J84" s="363">
        <v>390</v>
      </c>
      <c r="K84" s="361">
        <f t="shared" si="2"/>
        <v>0</v>
      </c>
      <c r="N84" t="s">
        <v>1044</v>
      </c>
    </row>
    <row r="85" spans="1:14" x14ac:dyDescent="0.25">
      <c r="A85" s="364" t="s">
        <v>364</v>
      </c>
      <c r="B85">
        <v>2519477</v>
      </c>
      <c r="C85" t="s">
        <v>906</v>
      </c>
      <c r="D85" s="363">
        <v>0</v>
      </c>
      <c r="E85" s="360"/>
      <c r="F85" s="363">
        <v>0</v>
      </c>
      <c r="G85" s="363"/>
      <c r="H85" s="363">
        <v>0</v>
      </c>
      <c r="I85" s="363"/>
      <c r="J85" s="363">
        <v>0</v>
      </c>
      <c r="K85" s="361">
        <f t="shared" si="2"/>
        <v>0</v>
      </c>
      <c r="N85" t="s">
        <v>906</v>
      </c>
    </row>
    <row r="86" spans="1:14" x14ac:dyDescent="0.25">
      <c r="A86" s="364" t="s">
        <v>368</v>
      </c>
      <c r="B86" t="s">
        <v>367</v>
      </c>
      <c r="C86" t="s">
        <v>907</v>
      </c>
      <c r="D86" s="363">
        <v>0</v>
      </c>
      <c r="E86" s="360"/>
      <c r="F86" s="363">
        <v>0</v>
      </c>
      <c r="G86" s="363"/>
      <c r="H86" s="363">
        <v>0</v>
      </c>
      <c r="I86" s="363"/>
      <c r="J86" s="363">
        <v>0</v>
      </c>
      <c r="K86" s="361">
        <f t="shared" si="2"/>
        <v>0</v>
      </c>
      <c r="N86" t="s">
        <v>907</v>
      </c>
    </row>
    <row r="87" spans="1:14" x14ac:dyDescent="0.25">
      <c r="A87" s="364" t="s">
        <v>908</v>
      </c>
      <c r="B87" t="s">
        <v>909</v>
      </c>
      <c r="C87" t="s">
        <v>909</v>
      </c>
      <c r="D87" s="363">
        <v>0</v>
      </c>
      <c r="E87" s="360"/>
      <c r="F87" s="363">
        <v>0</v>
      </c>
      <c r="G87" s="363"/>
      <c r="H87" s="363">
        <v>0</v>
      </c>
      <c r="I87" s="363"/>
      <c r="J87" s="363">
        <v>0</v>
      </c>
      <c r="K87" s="361">
        <f t="shared" si="2"/>
        <v>0</v>
      </c>
      <c r="N87" t="s">
        <v>909</v>
      </c>
    </row>
    <row r="88" spans="1:14" x14ac:dyDescent="0.25">
      <c r="A88" s="364" t="s">
        <v>369</v>
      </c>
      <c r="B88">
        <v>205852</v>
      </c>
      <c r="C88" t="s">
        <v>910</v>
      </c>
      <c r="D88" s="363">
        <v>0</v>
      </c>
      <c r="E88" s="360"/>
      <c r="F88" s="363">
        <v>0</v>
      </c>
      <c r="G88" s="363"/>
      <c r="H88" s="363">
        <v>0</v>
      </c>
      <c r="I88" s="363"/>
      <c r="J88" s="363">
        <v>0</v>
      </c>
      <c r="K88" s="361">
        <f t="shared" si="2"/>
        <v>0</v>
      </c>
      <c r="N88" t="s">
        <v>910</v>
      </c>
    </row>
    <row r="89" spans="1:14" x14ac:dyDescent="0.25">
      <c r="A89" s="364" t="s">
        <v>371</v>
      </c>
      <c r="B89">
        <v>205922</v>
      </c>
      <c r="C89" t="s">
        <v>911</v>
      </c>
      <c r="D89" s="363">
        <v>180</v>
      </c>
      <c r="E89" s="360"/>
      <c r="F89" s="363">
        <v>0</v>
      </c>
      <c r="G89" s="363"/>
      <c r="H89" s="363">
        <v>165</v>
      </c>
      <c r="I89" s="363"/>
      <c r="J89" s="363">
        <v>345</v>
      </c>
      <c r="K89" s="361">
        <f t="shared" si="2"/>
        <v>0</v>
      </c>
      <c r="N89" t="s">
        <v>911</v>
      </c>
    </row>
    <row r="90" spans="1:14" x14ac:dyDescent="0.25">
      <c r="A90" s="364" t="s">
        <v>373</v>
      </c>
      <c r="B90" t="s">
        <v>372</v>
      </c>
      <c r="C90" t="s">
        <v>912</v>
      </c>
      <c r="D90" s="363">
        <v>0</v>
      </c>
      <c r="E90" s="360"/>
      <c r="F90" s="363">
        <v>0</v>
      </c>
      <c r="G90" s="363"/>
      <c r="H90" s="363">
        <v>0</v>
      </c>
      <c r="I90" s="363"/>
      <c r="J90" s="363">
        <v>0</v>
      </c>
      <c r="K90" s="361">
        <f t="shared" si="2"/>
        <v>0</v>
      </c>
      <c r="N90" t="s">
        <v>912</v>
      </c>
    </row>
    <row r="91" spans="1:14" x14ac:dyDescent="0.25">
      <c r="A91" s="364" t="s">
        <v>375</v>
      </c>
      <c r="B91" t="s">
        <v>374</v>
      </c>
      <c r="C91" t="s">
        <v>913</v>
      </c>
      <c r="D91" s="363">
        <v>180</v>
      </c>
      <c r="E91" s="360"/>
      <c r="F91" s="363">
        <v>210</v>
      </c>
      <c r="G91" s="363"/>
      <c r="H91" s="363">
        <v>165</v>
      </c>
      <c r="I91" s="363"/>
      <c r="J91" s="363">
        <v>555</v>
      </c>
      <c r="K91" s="361">
        <f t="shared" si="2"/>
        <v>0</v>
      </c>
      <c r="N91" t="s">
        <v>913</v>
      </c>
    </row>
    <row r="92" spans="1:14" x14ac:dyDescent="0.25">
      <c r="A92" s="364" t="s">
        <v>914</v>
      </c>
      <c r="B92" t="s">
        <v>915</v>
      </c>
      <c r="C92" t="s">
        <v>915</v>
      </c>
      <c r="D92" s="363">
        <v>0</v>
      </c>
      <c r="E92" s="360"/>
      <c r="F92" s="363">
        <v>0</v>
      </c>
      <c r="G92" s="363"/>
      <c r="H92" s="363">
        <v>0</v>
      </c>
      <c r="I92" s="363"/>
      <c r="J92" s="363">
        <v>0</v>
      </c>
      <c r="K92" s="361">
        <f t="shared" si="2"/>
        <v>0</v>
      </c>
      <c r="N92" t="s">
        <v>915</v>
      </c>
    </row>
    <row r="93" spans="1:14" x14ac:dyDescent="0.25">
      <c r="A93" s="364" t="s">
        <v>376</v>
      </c>
      <c r="B93">
        <v>205947</v>
      </c>
      <c r="C93" t="s">
        <v>916</v>
      </c>
      <c r="D93" s="363">
        <v>0</v>
      </c>
      <c r="E93" s="360"/>
      <c r="F93" s="363">
        <v>0</v>
      </c>
      <c r="G93" s="363"/>
      <c r="H93" s="363">
        <v>0</v>
      </c>
      <c r="I93" s="363"/>
      <c r="J93" s="363">
        <v>0</v>
      </c>
      <c r="K93" s="361">
        <f t="shared" si="2"/>
        <v>0</v>
      </c>
      <c r="N93" t="s">
        <v>916</v>
      </c>
    </row>
    <row r="94" spans="1:14" x14ac:dyDescent="0.25">
      <c r="A94" s="364" t="s">
        <v>379</v>
      </c>
      <c r="B94" t="s">
        <v>378</v>
      </c>
      <c r="C94" t="s">
        <v>917</v>
      </c>
      <c r="D94" s="363">
        <v>600</v>
      </c>
      <c r="E94" s="360"/>
      <c r="F94" s="363">
        <v>420</v>
      </c>
      <c r="G94" s="363"/>
      <c r="H94" s="363">
        <v>0</v>
      </c>
      <c r="I94" s="363"/>
      <c r="J94" s="363">
        <v>1020</v>
      </c>
      <c r="K94" s="361">
        <f t="shared" si="2"/>
        <v>0</v>
      </c>
      <c r="N94" t="s">
        <v>917</v>
      </c>
    </row>
    <row r="95" spans="1:14" x14ac:dyDescent="0.25">
      <c r="A95" s="364" t="s">
        <v>377</v>
      </c>
      <c r="B95" t="s">
        <v>918</v>
      </c>
      <c r="C95" t="s">
        <v>918</v>
      </c>
      <c r="D95" s="363">
        <v>0</v>
      </c>
      <c r="E95" s="360"/>
      <c r="F95" s="363">
        <v>0</v>
      </c>
      <c r="G95" s="363"/>
      <c r="H95" s="363">
        <v>0</v>
      </c>
      <c r="I95" s="363"/>
      <c r="J95" s="363">
        <v>0</v>
      </c>
      <c r="K95" s="361">
        <f t="shared" si="2"/>
        <v>0</v>
      </c>
      <c r="N95" t="s">
        <v>918</v>
      </c>
    </row>
    <row r="96" spans="1:14" x14ac:dyDescent="0.25">
      <c r="A96" s="364" t="s">
        <v>383</v>
      </c>
      <c r="B96" t="s">
        <v>382</v>
      </c>
      <c r="C96" t="s">
        <v>919</v>
      </c>
      <c r="D96" s="363">
        <v>180</v>
      </c>
      <c r="E96" s="360"/>
      <c r="F96" s="363">
        <v>0</v>
      </c>
      <c r="G96" s="363"/>
      <c r="H96" s="363">
        <v>330</v>
      </c>
      <c r="I96" s="363"/>
      <c r="J96" s="363">
        <v>510</v>
      </c>
      <c r="K96" s="361">
        <f t="shared" si="2"/>
        <v>0</v>
      </c>
      <c r="N96" t="s">
        <v>919</v>
      </c>
    </row>
    <row r="97" spans="1:14" x14ac:dyDescent="0.25">
      <c r="A97" s="364" t="s">
        <v>386</v>
      </c>
      <c r="B97" t="s">
        <v>385</v>
      </c>
      <c r="C97" t="s">
        <v>920</v>
      </c>
      <c r="D97" s="363">
        <v>0</v>
      </c>
      <c r="E97" s="360"/>
      <c r="F97" s="363">
        <v>0</v>
      </c>
      <c r="G97" s="363"/>
      <c r="H97" s="363">
        <v>0</v>
      </c>
      <c r="I97" s="363"/>
      <c r="J97" s="363">
        <v>0</v>
      </c>
      <c r="K97" s="361">
        <f t="shared" si="2"/>
        <v>0</v>
      </c>
      <c r="N97" t="s">
        <v>920</v>
      </c>
    </row>
    <row r="98" spans="1:14" x14ac:dyDescent="0.25">
      <c r="A98" s="364" t="s">
        <v>388</v>
      </c>
      <c r="B98" t="s">
        <v>387</v>
      </c>
      <c r="C98" t="s">
        <v>921</v>
      </c>
      <c r="D98" s="363">
        <v>0</v>
      </c>
      <c r="E98" s="360"/>
      <c r="F98" s="363">
        <v>0</v>
      </c>
      <c r="G98" s="363"/>
      <c r="H98" s="363">
        <v>0</v>
      </c>
      <c r="I98" s="363"/>
      <c r="J98" s="363">
        <v>0</v>
      </c>
      <c r="K98" s="361">
        <f t="shared" si="2"/>
        <v>0</v>
      </c>
      <c r="N98" t="s">
        <v>921</v>
      </c>
    </row>
    <row r="99" spans="1:14" x14ac:dyDescent="0.25">
      <c r="A99" s="364" t="s">
        <v>1045</v>
      </c>
      <c r="B99" s="380" t="s">
        <v>1046</v>
      </c>
      <c r="C99" s="380" t="s">
        <v>1046</v>
      </c>
      <c r="D99" s="363">
        <v>165</v>
      </c>
      <c r="E99" s="360"/>
      <c r="F99" s="363">
        <v>0</v>
      </c>
      <c r="G99" s="363"/>
      <c r="H99" s="363">
        <v>0</v>
      </c>
      <c r="I99" s="363"/>
      <c r="J99" s="363">
        <v>165</v>
      </c>
      <c r="K99" s="361">
        <f t="shared" si="2"/>
        <v>0</v>
      </c>
      <c r="N99" t="s">
        <v>1046</v>
      </c>
    </row>
    <row r="100" spans="1:14" x14ac:dyDescent="0.25">
      <c r="A100" s="364" t="s">
        <v>390</v>
      </c>
      <c r="B100" t="s">
        <v>389</v>
      </c>
      <c r="C100" t="s">
        <v>922</v>
      </c>
      <c r="D100" s="363">
        <v>180</v>
      </c>
      <c r="E100" s="360"/>
      <c r="F100" s="363">
        <v>0</v>
      </c>
      <c r="G100" s="363"/>
      <c r="H100" s="363">
        <v>330</v>
      </c>
      <c r="I100" s="363"/>
      <c r="J100" s="363">
        <v>510</v>
      </c>
      <c r="K100" s="361">
        <f t="shared" si="2"/>
        <v>0</v>
      </c>
      <c r="N100" t="s">
        <v>922</v>
      </c>
    </row>
    <row r="101" spans="1:14" x14ac:dyDescent="0.25">
      <c r="A101" s="364" t="s">
        <v>758</v>
      </c>
      <c r="B101" t="s">
        <v>923</v>
      </c>
      <c r="C101" t="s">
        <v>923</v>
      </c>
      <c r="D101" s="363">
        <v>0</v>
      </c>
      <c r="E101" s="360"/>
      <c r="F101" s="363">
        <v>0</v>
      </c>
      <c r="G101" s="363"/>
      <c r="H101" s="363">
        <v>0</v>
      </c>
      <c r="I101" s="363"/>
      <c r="J101" s="363">
        <v>0</v>
      </c>
      <c r="K101" s="361">
        <f t="shared" ref="K101:K132" si="3">E101+G101+I101</f>
        <v>0</v>
      </c>
      <c r="N101" t="s">
        <v>923</v>
      </c>
    </row>
    <row r="102" spans="1:14" x14ac:dyDescent="0.25">
      <c r="A102" s="364" t="s">
        <v>757</v>
      </c>
      <c r="B102" t="s">
        <v>924</v>
      </c>
      <c r="C102" t="s">
        <v>924</v>
      </c>
      <c r="D102" s="363">
        <v>0</v>
      </c>
      <c r="E102" s="360"/>
      <c r="F102" s="363">
        <v>0</v>
      </c>
      <c r="G102" s="363"/>
      <c r="H102" s="363">
        <v>165</v>
      </c>
      <c r="I102" s="363"/>
      <c r="J102" s="363">
        <v>165</v>
      </c>
      <c r="K102" s="361">
        <f t="shared" si="3"/>
        <v>0</v>
      </c>
      <c r="N102" t="s">
        <v>924</v>
      </c>
    </row>
    <row r="103" spans="1:14" x14ac:dyDescent="0.25">
      <c r="A103" s="364" t="s">
        <v>393</v>
      </c>
      <c r="B103">
        <v>639307</v>
      </c>
      <c r="C103" t="s">
        <v>925</v>
      </c>
      <c r="D103" s="363">
        <v>0</v>
      </c>
      <c r="E103" s="360"/>
      <c r="F103" s="363">
        <v>0</v>
      </c>
      <c r="G103" s="363"/>
      <c r="H103" s="363">
        <v>0</v>
      </c>
      <c r="I103" s="363"/>
      <c r="J103" s="363">
        <v>0</v>
      </c>
      <c r="K103" s="361">
        <f t="shared" si="3"/>
        <v>0</v>
      </c>
      <c r="N103" t="s">
        <v>925</v>
      </c>
    </row>
    <row r="104" spans="1:14" x14ac:dyDescent="0.25">
      <c r="A104" s="364" t="s">
        <v>394</v>
      </c>
      <c r="B104" t="s">
        <v>926</v>
      </c>
      <c r="C104" t="s">
        <v>926</v>
      </c>
      <c r="D104" s="363">
        <v>0</v>
      </c>
      <c r="E104" s="360"/>
      <c r="F104" s="363">
        <v>0</v>
      </c>
      <c r="G104" s="363"/>
      <c r="H104" s="363">
        <v>0</v>
      </c>
      <c r="I104" s="363"/>
      <c r="J104" s="363">
        <v>0</v>
      </c>
      <c r="K104" s="361">
        <f t="shared" si="3"/>
        <v>0</v>
      </c>
      <c r="N104" t="s">
        <v>926</v>
      </c>
    </row>
    <row r="105" spans="1:14" x14ac:dyDescent="0.25">
      <c r="A105" s="364" t="s">
        <v>395</v>
      </c>
      <c r="B105" t="s">
        <v>927</v>
      </c>
      <c r="C105" t="s">
        <v>927</v>
      </c>
      <c r="D105" s="363">
        <v>360</v>
      </c>
      <c r="E105" s="360"/>
      <c r="F105" s="363">
        <v>210</v>
      </c>
      <c r="G105" s="363"/>
      <c r="H105" s="363">
        <v>495</v>
      </c>
      <c r="I105" s="363"/>
      <c r="J105" s="363">
        <v>1065</v>
      </c>
      <c r="K105" s="361">
        <f t="shared" si="3"/>
        <v>0</v>
      </c>
      <c r="N105" t="s">
        <v>927</v>
      </c>
    </row>
    <row r="106" spans="1:14" x14ac:dyDescent="0.25">
      <c r="A106" s="364" t="s">
        <v>396</v>
      </c>
      <c r="B106">
        <v>2559906</v>
      </c>
      <c r="C106" t="s">
        <v>928</v>
      </c>
      <c r="D106" s="363">
        <v>180</v>
      </c>
      <c r="E106" s="360"/>
      <c r="F106" s="363">
        <v>0</v>
      </c>
      <c r="G106" s="363"/>
      <c r="H106" s="363">
        <v>165</v>
      </c>
      <c r="I106" s="363"/>
      <c r="J106" s="363">
        <v>345</v>
      </c>
      <c r="K106" s="361">
        <f t="shared" si="3"/>
        <v>0</v>
      </c>
      <c r="N106" t="s">
        <v>928</v>
      </c>
    </row>
    <row r="107" spans="1:14" x14ac:dyDescent="0.25">
      <c r="A107" s="364" t="s">
        <v>929</v>
      </c>
      <c r="B107" t="s">
        <v>930</v>
      </c>
      <c r="C107" t="s">
        <v>930</v>
      </c>
      <c r="D107" s="363">
        <v>0</v>
      </c>
      <c r="E107" s="360"/>
      <c r="F107" s="363">
        <v>0</v>
      </c>
      <c r="G107" s="363"/>
      <c r="H107" s="363">
        <v>0</v>
      </c>
      <c r="I107" s="363"/>
      <c r="J107" s="363">
        <v>0</v>
      </c>
      <c r="K107" s="361">
        <f t="shared" si="3"/>
        <v>0</v>
      </c>
      <c r="N107" t="s">
        <v>930</v>
      </c>
    </row>
    <row r="108" spans="1:14" x14ac:dyDescent="0.25">
      <c r="A108" s="364" t="s">
        <v>401</v>
      </c>
      <c r="B108" t="s">
        <v>400</v>
      </c>
      <c r="C108" t="s">
        <v>931</v>
      </c>
      <c r="D108" s="363">
        <v>0</v>
      </c>
      <c r="E108" s="360"/>
      <c r="F108" s="363">
        <v>0</v>
      </c>
      <c r="G108" s="363"/>
      <c r="H108" s="363">
        <v>0</v>
      </c>
      <c r="I108" s="363"/>
      <c r="J108" s="363">
        <v>0</v>
      </c>
      <c r="K108" s="361">
        <f t="shared" si="3"/>
        <v>0</v>
      </c>
      <c r="N108" t="s">
        <v>931</v>
      </c>
    </row>
    <row r="109" spans="1:14" x14ac:dyDescent="0.25">
      <c r="A109" s="364" t="s">
        <v>403</v>
      </c>
      <c r="B109" t="s">
        <v>402</v>
      </c>
      <c r="C109" t="s">
        <v>932</v>
      </c>
      <c r="D109" s="363">
        <v>0</v>
      </c>
      <c r="E109" s="360"/>
      <c r="F109" s="363">
        <v>0</v>
      </c>
      <c r="G109" s="363"/>
      <c r="H109" s="363">
        <v>0</v>
      </c>
      <c r="I109" s="363"/>
      <c r="J109" s="363">
        <v>0</v>
      </c>
      <c r="K109" s="361">
        <f t="shared" si="3"/>
        <v>0</v>
      </c>
      <c r="N109" t="s">
        <v>932</v>
      </c>
    </row>
    <row r="110" spans="1:14" x14ac:dyDescent="0.25">
      <c r="A110" s="364" t="s">
        <v>404</v>
      </c>
      <c r="B110">
        <v>205881</v>
      </c>
      <c r="C110" t="s">
        <v>933</v>
      </c>
      <c r="D110" s="363">
        <v>0</v>
      </c>
      <c r="E110" s="360"/>
      <c r="F110" s="363">
        <v>0</v>
      </c>
      <c r="G110" s="363"/>
      <c r="H110" s="363">
        <v>0</v>
      </c>
      <c r="I110" s="363"/>
      <c r="J110" s="363">
        <v>0</v>
      </c>
      <c r="K110" s="361">
        <f t="shared" si="3"/>
        <v>0</v>
      </c>
      <c r="N110" t="s">
        <v>933</v>
      </c>
    </row>
    <row r="111" spans="1:14" x14ac:dyDescent="0.25">
      <c r="A111" s="364" t="s">
        <v>406</v>
      </c>
      <c r="B111" t="s">
        <v>405</v>
      </c>
      <c r="C111" t="s">
        <v>934</v>
      </c>
      <c r="D111" s="363">
        <v>144</v>
      </c>
      <c r="E111" s="360"/>
      <c r="F111" s="363">
        <v>525</v>
      </c>
      <c r="G111" s="363"/>
      <c r="H111" s="363">
        <v>165</v>
      </c>
      <c r="I111" s="363"/>
      <c r="J111" s="363">
        <v>834</v>
      </c>
      <c r="K111" s="361">
        <f t="shared" si="3"/>
        <v>0</v>
      </c>
      <c r="N111" t="s">
        <v>934</v>
      </c>
    </row>
    <row r="112" spans="1:14" x14ac:dyDescent="0.25">
      <c r="A112" s="364" t="s">
        <v>408</v>
      </c>
      <c r="B112" t="s">
        <v>407</v>
      </c>
      <c r="C112" t="s">
        <v>935</v>
      </c>
      <c r="D112" s="363">
        <v>0</v>
      </c>
      <c r="E112" s="360"/>
      <c r="F112" s="363">
        <v>0</v>
      </c>
      <c r="G112" s="363"/>
      <c r="H112" s="363">
        <v>0</v>
      </c>
      <c r="I112" s="363"/>
      <c r="J112" s="363">
        <v>0</v>
      </c>
      <c r="K112" s="361">
        <f t="shared" si="3"/>
        <v>0</v>
      </c>
      <c r="N112" t="s">
        <v>935</v>
      </c>
    </row>
    <row r="113" spans="1:14" x14ac:dyDescent="0.25">
      <c r="A113" s="364" t="s">
        <v>410</v>
      </c>
      <c r="B113" t="s">
        <v>409</v>
      </c>
      <c r="C113" t="s">
        <v>936</v>
      </c>
      <c r="D113" s="363">
        <v>0</v>
      </c>
      <c r="E113" s="360"/>
      <c r="F113" s="363">
        <v>0</v>
      </c>
      <c r="G113" s="363"/>
      <c r="H113" s="363">
        <v>0</v>
      </c>
      <c r="I113" s="363"/>
      <c r="J113" s="363">
        <v>0</v>
      </c>
      <c r="K113" s="361">
        <f t="shared" si="3"/>
        <v>0</v>
      </c>
      <c r="N113" t="s">
        <v>936</v>
      </c>
    </row>
    <row r="114" spans="1:14" x14ac:dyDescent="0.25">
      <c r="A114" s="364" t="s">
        <v>411</v>
      </c>
      <c r="B114" t="s">
        <v>1047</v>
      </c>
      <c r="C114" t="s">
        <v>1047</v>
      </c>
      <c r="D114" s="363">
        <v>0</v>
      </c>
      <c r="E114" s="360"/>
      <c r="F114" s="363">
        <v>0</v>
      </c>
      <c r="G114" s="363"/>
      <c r="H114" s="363">
        <v>0</v>
      </c>
      <c r="I114" s="363"/>
      <c r="J114" s="363">
        <v>0</v>
      </c>
      <c r="K114" s="361">
        <f t="shared" si="3"/>
        <v>0</v>
      </c>
      <c r="N114" t="s">
        <v>1047</v>
      </c>
    </row>
    <row r="115" spans="1:14" x14ac:dyDescent="0.25">
      <c r="A115" s="364" t="s">
        <v>413</v>
      </c>
      <c r="B115" t="s">
        <v>412</v>
      </c>
      <c r="C115" t="s">
        <v>937</v>
      </c>
      <c r="D115" s="363">
        <v>0</v>
      </c>
      <c r="E115" s="360"/>
      <c r="F115" s="363">
        <v>0</v>
      </c>
      <c r="G115" s="363"/>
      <c r="H115" s="363">
        <v>0</v>
      </c>
      <c r="I115" s="363"/>
      <c r="J115" s="363">
        <v>0</v>
      </c>
      <c r="K115" s="361">
        <f t="shared" si="3"/>
        <v>0</v>
      </c>
      <c r="N115" t="s">
        <v>937</v>
      </c>
    </row>
    <row r="116" spans="1:14" ht="25" x14ac:dyDescent="0.25">
      <c r="A116" s="364" t="s">
        <v>1048</v>
      </c>
      <c r="B116" s="380" t="s">
        <v>1049</v>
      </c>
      <c r="C116" s="380" t="s">
        <v>1049</v>
      </c>
      <c r="D116" s="363">
        <v>0</v>
      </c>
      <c r="E116" s="360"/>
      <c r="F116" s="363">
        <v>0</v>
      </c>
      <c r="G116" s="363"/>
      <c r="H116" s="363">
        <v>0</v>
      </c>
      <c r="I116" s="363"/>
      <c r="J116" s="363">
        <v>0</v>
      </c>
      <c r="K116" s="361">
        <f t="shared" si="3"/>
        <v>0</v>
      </c>
      <c r="N116" t="s">
        <v>1049</v>
      </c>
    </row>
    <row r="117" spans="1:14" x14ac:dyDescent="0.25">
      <c r="A117" s="364" t="s">
        <v>419</v>
      </c>
      <c r="B117" t="s">
        <v>938</v>
      </c>
      <c r="C117" t="s">
        <v>938</v>
      </c>
      <c r="D117" s="363">
        <v>180</v>
      </c>
      <c r="E117" s="360"/>
      <c r="F117" s="363">
        <v>0</v>
      </c>
      <c r="G117" s="363"/>
      <c r="H117" s="363">
        <v>165</v>
      </c>
      <c r="I117" s="363"/>
      <c r="J117" s="363">
        <v>345</v>
      </c>
      <c r="K117" s="361">
        <f t="shared" si="3"/>
        <v>0</v>
      </c>
      <c r="N117" t="s">
        <v>938</v>
      </c>
    </row>
    <row r="118" spans="1:14" x14ac:dyDescent="0.25">
      <c r="A118" s="364" t="s">
        <v>1050</v>
      </c>
      <c r="B118" t="s">
        <v>1051</v>
      </c>
      <c r="C118" t="s">
        <v>1051</v>
      </c>
      <c r="D118" s="363">
        <v>0</v>
      </c>
      <c r="E118" s="360"/>
      <c r="F118" s="363">
        <v>420</v>
      </c>
      <c r="G118" s="363"/>
      <c r="H118" s="363">
        <v>0</v>
      </c>
      <c r="I118" s="363"/>
      <c r="J118" s="363">
        <v>420</v>
      </c>
      <c r="K118" s="361">
        <f t="shared" si="3"/>
        <v>0</v>
      </c>
      <c r="N118" t="s">
        <v>1051</v>
      </c>
    </row>
    <row r="119" spans="1:14" x14ac:dyDescent="0.25">
      <c r="A119" s="364" t="s">
        <v>424</v>
      </c>
      <c r="B119">
        <v>205878</v>
      </c>
      <c r="C119" t="s">
        <v>939</v>
      </c>
      <c r="D119" s="363">
        <v>720</v>
      </c>
      <c r="E119" s="360"/>
      <c r="F119" s="363">
        <v>630</v>
      </c>
      <c r="G119" s="363"/>
      <c r="H119" s="363">
        <v>495</v>
      </c>
      <c r="I119" s="363"/>
      <c r="J119" s="363">
        <v>1845</v>
      </c>
      <c r="K119" s="361">
        <f t="shared" si="3"/>
        <v>0</v>
      </c>
      <c r="N119" t="s">
        <v>939</v>
      </c>
    </row>
    <row r="120" spans="1:14" x14ac:dyDescent="0.25">
      <c r="A120" s="364" t="s">
        <v>940</v>
      </c>
      <c r="B120" t="s">
        <v>941</v>
      </c>
      <c r="C120" t="s">
        <v>941</v>
      </c>
      <c r="D120" s="363">
        <v>180</v>
      </c>
      <c r="E120" s="360"/>
      <c r="F120" s="363">
        <v>0</v>
      </c>
      <c r="G120" s="363"/>
      <c r="H120" s="363">
        <v>165</v>
      </c>
      <c r="I120" s="363"/>
      <c r="J120" s="363">
        <v>345</v>
      </c>
      <c r="K120" s="361">
        <f t="shared" si="3"/>
        <v>0</v>
      </c>
      <c r="N120" t="s">
        <v>941</v>
      </c>
    </row>
    <row r="121" spans="1:14" x14ac:dyDescent="0.25">
      <c r="A121" s="364" t="s">
        <v>942</v>
      </c>
      <c r="B121" t="s">
        <v>943</v>
      </c>
      <c r="C121" t="s">
        <v>943</v>
      </c>
      <c r="D121" s="363">
        <v>0</v>
      </c>
      <c r="E121" s="360"/>
      <c r="F121" s="363">
        <v>0</v>
      </c>
      <c r="G121" s="363"/>
      <c r="H121" s="363">
        <v>0</v>
      </c>
      <c r="I121" s="363"/>
      <c r="J121" s="363">
        <v>0</v>
      </c>
      <c r="K121" s="361">
        <f t="shared" si="3"/>
        <v>0</v>
      </c>
      <c r="N121" t="s">
        <v>943</v>
      </c>
    </row>
    <row r="122" spans="1:14" x14ac:dyDescent="0.25">
      <c r="A122" s="364" t="s">
        <v>426</v>
      </c>
      <c r="B122" t="s">
        <v>425</v>
      </c>
      <c r="C122" t="s">
        <v>944</v>
      </c>
      <c r="D122" s="363">
        <v>180</v>
      </c>
      <c r="E122" s="360"/>
      <c r="F122" s="363">
        <v>0</v>
      </c>
      <c r="G122" s="363"/>
      <c r="H122" s="363">
        <v>165</v>
      </c>
      <c r="I122" s="363"/>
      <c r="J122" s="363">
        <v>345</v>
      </c>
      <c r="K122" s="361">
        <f t="shared" si="3"/>
        <v>0</v>
      </c>
      <c r="N122" t="s">
        <v>944</v>
      </c>
    </row>
    <row r="123" spans="1:14" x14ac:dyDescent="0.25">
      <c r="A123" s="364" t="s">
        <v>428</v>
      </c>
      <c r="B123" t="s">
        <v>427</v>
      </c>
      <c r="C123" t="s">
        <v>945</v>
      </c>
      <c r="D123" s="363">
        <v>0</v>
      </c>
      <c r="E123" s="360"/>
      <c r="F123" s="363">
        <v>0</v>
      </c>
      <c r="G123" s="363"/>
      <c r="H123" s="363">
        <v>0</v>
      </c>
      <c r="I123" s="363"/>
      <c r="J123" s="363">
        <v>0</v>
      </c>
      <c r="K123" s="361">
        <f t="shared" si="3"/>
        <v>0</v>
      </c>
      <c r="N123" t="s">
        <v>945</v>
      </c>
    </row>
    <row r="124" spans="1:14" x14ac:dyDescent="0.25">
      <c r="A124" s="364" t="s">
        <v>429</v>
      </c>
      <c r="B124" t="s">
        <v>946</v>
      </c>
      <c r="C124" t="s">
        <v>946</v>
      </c>
      <c r="D124" s="363">
        <v>0</v>
      </c>
      <c r="E124" s="360"/>
      <c r="F124" s="363">
        <v>0</v>
      </c>
      <c r="G124" s="363"/>
      <c r="H124" s="363">
        <v>0</v>
      </c>
      <c r="I124" s="363"/>
      <c r="J124" s="363">
        <v>0</v>
      </c>
      <c r="K124" s="361">
        <f t="shared" si="3"/>
        <v>0</v>
      </c>
      <c r="N124" t="s">
        <v>946</v>
      </c>
    </row>
    <row r="125" spans="1:14" x14ac:dyDescent="0.25">
      <c r="A125" s="364" t="s">
        <v>430</v>
      </c>
      <c r="B125" t="s">
        <v>682</v>
      </c>
      <c r="C125" t="s">
        <v>682</v>
      </c>
      <c r="D125" s="363">
        <v>0</v>
      </c>
      <c r="E125" s="360"/>
      <c r="F125" s="363">
        <v>0</v>
      </c>
      <c r="G125" s="363"/>
      <c r="H125" s="363">
        <v>0</v>
      </c>
      <c r="I125" s="363"/>
      <c r="J125" s="363">
        <v>0</v>
      </c>
      <c r="K125" s="361">
        <f t="shared" si="3"/>
        <v>0</v>
      </c>
      <c r="N125" t="s">
        <v>682</v>
      </c>
    </row>
    <row r="126" spans="1:14" x14ac:dyDescent="0.25">
      <c r="A126" s="364" t="s">
        <v>434</v>
      </c>
      <c r="B126" t="s">
        <v>433</v>
      </c>
      <c r="C126" t="s">
        <v>947</v>
      </c>
      <c r="D126" s="363">
        <v>0</v>
      </c>
      <c r="E126" s="360"/>
      <c r="F126" s="363">
        <v>0</v>
      </c>
      <c r="G126" s="363"/>
      <c r="H126" s="363">
        <v>0</v>
      </c>
      <c r="I126" s="363"/>
      <c r="J126" s="363">
        <v>0</v>
      </c>
      <c r="K126" s="361">
        <f t="shared" si="3"/>
        <v>0</v>
      </c>
      <c r="N126" t="s">
        <v>947</v>
      </c>
    </row>
    <row r="127" spans="1:14" x14ac:dyDescent="0.25">
      <c r="A127" s="364" t="s">
        <v>436</v>
      </c>
      <c r="B127" t="s">
        <v>435</v>
      </c>
      <c r="C127" t="s">
        <v>948</v>
      </c>
      <c r="D127" s="363">
        <v>0</v>
      </c>
      <c r="E127" s="360"/>
      <c r="F127" s="363">
        <v>0</v>
      </c>
      <c r="G127" s="363"/>
      <c r="H127" s="363">
        <v>0</v>
      </c>
      <c r="I127" s="363"/>
      <c r="J127" s="363">
        <v>0</v>
      </c>
      <c r="K127" s="361">
        <f t="shared" si="3"/>
        <v>0</v>
      </c>
      <c r="N127" t="s">
        <v>948</v>
      </c>
    </row>
    <row r="128" spans="1:14" x14ac:dyDescent="0.25">
      <c r="A128" s="364" t="s">
        <v>438</v>
      </c>
      <c r="B128" t="s">
        <v>684</v>
      </c>
      <c r="C128" t="s">
        <v>684</v>
      </c>
      <c r="D128" s="363">
        <v>0</v>
      </c>
      <c r="E128" s="360"/>
      <c r="F128" s="363">
        <v>0</v>
      </c>
      <c r="G128" s="363"/>
      <c r="H128" s="363">
        <v>165</v>
      </c>
      <c r="I128" s="363"/>
      <c r="J128" s="363">
        <v>165</v>
      </c>
      <c r="K128" s="361">
        <f t="shared" si="3"/>
        <v>0</v>
      </c>
      <c r="N128" t="s">
        <v>684</v>
      </c>
    </row>
    <row r="129" spans="1:14" x14ac:dyDescent="0.25">
      <c r="A129" s="364" t="s">
        <v>440</v>
      </c>
      <c r="B129" t="s">
        <v>439</v>
      </c>
      <c r="C129" t="s">
        <v>949</v>
      </c>
      <c r="D129" s="363">
        <v>0</v>
      </c>
      <c r="E129" s="360"/>
      <c r="F129" s="363">
        <v>0</v>
      </c>
      <c r="G129" s="363"/>
      <c r="H129" s="363">
        <v>0</v>
      </c>
      <c r="I129" s="363"/>
      <c r="J129" s="363">
        <v>0</v>
      </c>
      <c r="K129" s="361">
        <f t="shared" si="3"/>
        <v>0</v>
      </c>
      <c r="N129" t="s">
        <v>949</v>
      </c>
    </row>
    <row r="130" spans="1:14" x14ac:dyDescent="0.25">
      <c r="A130" s="364" t="s">
        <v>444</v>
      </c>
      <c r="B130" t="s">
        <v>443</v>
      </c>
      <c r="C130" t="s">
        <v>950</v>
      </c>
      <c r="D130" s="363">
        <v>0</v>
      </c>
      <c r="E130" s="360"/>
      <c r="F130" s="363">
        <v>0</v>
      </c>
      <c r="G130" s="363"/>
      <c r="H130" s="363">
        <v>0</v>
      </c>
      <c r="I130" s="363"/>
      <c r="J130" s="363">
        <v>0</v>
      </c>
      <c r="K130" s="361">
        <f t="shared" si="3"/>
        <v>0</v>
      </c>
      <c r="N130" t="s">
        <v>950</v>
      </c>
    </row>
    <row r="131" spans="1:14" x14ac:dyDescent="0.25">
      <c r="A131" s="364" t="s">
        <v>446</v>
      </c>
      <c r="B131" t="s">
        <v>445</v>
      </c>
      <c r="C131" t="s">
        <v>951</v>
      </c>
      <c r="D131" s="363">
        <v>180</v>
      </c>
      <c r="E131" s="360"/>
      <c r="F131" s="363">
        <v>0</v>
      </c>
      <c r="G131" s="363"/>
      <c r="H131" s="363">
        <v>165</v>
      </c>
      <c r="I131" s="363"/>
      <c r="J131" s="363">
        <v>345</v>
      </c>
      <c r="K131" s="361">
        <f t="shared" si="3"/>
        <v>0</v>
      </c>
      <c r="N131" t="s">
        <v>951</v>
      </c>
    </row>
    <row r="132" spans="1:14" x14ac:dyDescent="0.25">
      <c r="A132" s="364" t="s">
        <v>448</v>
      </c>
      <c r="B132" t="s">
        <v>447</v>
      </c>
      <c r="C132" t="s">
        <v>952</v>
      </c>
      <c r="D132" s="363">
        <v>0</v>
      </c>
      <c r="E132" s="360"/>
      <c r="F132" s="363">
        <v>0</v>
      </c>
      <c r="G132" s="363"/>
      <c r="H132" s="363">
        <v>0</v>
      </c>
      <c r="I132" s="363"/>
      <c r="J132" s="363">
        <v>0</v>
      </c>
      <c r="K132" s="361">
        <f t="shared" si="3"/>
        <v>0</v>
      </c>
      <c r="N132" t="s">
        <v>952</v>
      </c>
    </row>
    <row r="133" spans="1:14" x14ac:dyDescent="0.25">
      <c r="A133" s="364" t="s">
        <v>449</v>
      </c>
      <c r="B133">
        <v>206046</v>
      </c>
      <c r="C133" t="s">
        <v>953</v>
      </c>
      <c r="D133" s="363">
        <v>0</v>
      </c>
      <c r="E133" s="360"/>
      <c r="F133" s="363">
        <v>0</v>
      </c>
      <c r="G133" s="363"/>
      <c r="H133" s="363">
        <v>0</v>
      </c>
      <c r="I133" s="363"/>
      <c r="J133" s="363">
        <v>0</v>
      </c>
      <c r="K133" s="361">
        <f t="shared" ref="K133:K164" si="4">E133+G133+I133</f>
        <v>0</v>
      </c>
      <c r="N133" t="s">
        <v>953</v>
      </c>
    </row>
    <row r="134" spans="1:14" x14ac:dyDescent="0.25">
      <c r="A134" s="364" t="s">
        <v>451</v>
      </c>
      <c r="B134" t="s">
        <v>954</v>
      </c>
      <c r="C134" t="s">
        <v>954</v>
      </c>
      <c r="D134" s="363">
        <v>180</v>
      </c>
      <c r="E134" s="360"/>
      <c r="F134" s="363">
        <v>0</v>
      </c>
      <c r="G134" s="363"/>
      <c r="H134" s="363">
        <v>330</v>
      </c>
      <c r="I134" s="363"/>
      <c r="J134" s="363">
        <v>510</v>
      </c>
      <c r="K134" s="361">
        <f t="shared" si="4"/>
        <v>0</v>
      </c>
      <c r="N134" t="s">
        <v>954</v>
      </c>
    </row>
    <row r="135" spans="1:14" x14ac:dyDescent="0.25">
      <c r="A135" s="364" t="s">
        <v>453</v>
      </c>
      <c r="B135" t="s">
        <v>452</v>
      </c>
      <c r="C135" t="s">
        <v>955</v>
      </c>
      <c r="D135" s="363">
        <v>0</v>
      </c>
      <c r="E135" s="360"/>
      <c r="F135" s="363">
        <v>0</v>
      </c>
      <c r="G135" s="363"/>
      <c r="H135" s="363">
        <v>0</v>
      </c>
      <c r="I135" s="363"/>
      <c r="J135" s="363">
        <v>0</v>
      </c>
      <c r="K135" s="361">
        <f t="shared" si="4"/>
        <v>0</v>
      </c>
      <c r="N135" t="s">
        <v>955</v>
      </c>
    </row>
    <row r="136" spans="1:14" x14ac:dyDescent="0.25">
      <c r="A136" s="364" t="s">
        <v>457</v>
      </c>
      <c r="B136">
        <v>205978</v>
      </c>
      <c r="C136" t="s">
        <v>956</v>
      </c>
      <c r="D136" s="363">
        <v>0</v>
      </c>
      <c r="E136" s="360"/>
      <c r="F136" s="363">
        <v>0</v>
      </c>
      <c r="G136" s="363"/>
      <c r="H136" s="363">
        <v>0</v>
      </c>
      <c r="I136" s="363"/>
      <c r="J136" s="363">
        <v>0</v>
      </c>
      <c r="K136" s="361">
        <f t="shared" si="4"/>
        <v>0</v>
      </c>
      <c r="N136" t="s">
        <v>956</v>
      </c>
    </row>
    <row r="137" spans="1:14" x14ac:dyDescent="0.25">
      <c r="A137" s="364" t="s">
        <v>957</v>
      </c>
      <c r="B137" t="s">
        <v>958</v>
      </c>
      <c r="C137" t="s">
        <v>958</v>
      </c>
      <c r="D137" s="363">
        <v>0</v>
      </c>
      <c r="E137" s="360"/>
      <c r="F137" s="363">
        <v>0</v>
      </c>
      <c r="G137" s="363"/>
      <c r="H137" s="363">
        <v>0</v>
      </c>
      <c r="I137" s="363"/>
      <c r="J137" s="363">
        <v>0</v>
      </c>
      <c r="K137" s="361">
        <f t="shared" si="4"/>
        <v>0</v>
      </c>
      <c r="N137" t="s">
        <v>958</v>
      </c>
    </row>
    <row r="138" spans="1:14" x14ac:dyDescent="0.25">
      <c r="A138" s="364" t="s">
        <v>460</v>
      </c>
      <c r="B138" t="s">
        <v>959</v>
      </c>
      <c r="C138" t="s">
        <v>959</v>
      </c>
      <c r="D138" s="363">
        <v>180</v>
      </c>
      <c r="E138" s="360"/>
      <c r="F138" s="363">
        <v>210</v>
      </c>
      <c r="G138" s="363"/>
      <c r="H138" s="363">
        <v>165</v>
      </c>
      <c r="I138" s="363"/>
      <c r="J138" s="363">
        <v>555</v>
      </c>
      <c r="K138" s="361">
        <f t="shared" si="4"/>
        <v>0</v>
      </c>
      <c r="N138" t="s">
        <v>959</v>
      </c>
    </row>
    <row r="139" spans="1:14" x14ac:dyDescent="0.25">
      <c r="A139" s="364" t="s">
        <v>461</v>
      </c>
      <c r="B139">
        <v>206043</v>
      </c>
      <c r="C139" t="s">
        <v>960</v>
      </c>
      <c r="D139" s="363">
        <v>180</v>
      </c>
      <c r="E139" s="360"/>
      <c r="F139" s="363">
        <v>322</v>
      </c>
      <c r="G139" s="363"/>
      <c r="H139" s="363">
        <v>0</v>
      </c>
      <c r="I139" s="363"/>
      <c r="J139" s="363">
        <v>502</v>
      </c>
      <c r="K139" s="361">
        <f t="shared" si="4"/>
        <v>0</v>
      </c>
      <c r="N139" t="s">
        <v>960</v>
      </c>
    </row>
    <row r="140" spans="1:14" x14ac:dyDescent="0.25">
      <c r="A140" s="364" t="s">
        <v>463</v>
      </c>
      <c r="B140" t="s">
        <v>462</v>
      </c>
      <c r="C140" t="s">
        <v>961</v>
      </c>
      <c r="D140" s="363">
        <v>0</v>
      </c>
      <c r="E140" s="360"/>
      <c r="F140" s="363">
        <v>0</v>
      </c>
      <c r="G140" s="363"/>
      <c r="H140" s="363">
        <v>165</v>
      </c>
      <c r="I140" s="363"/>
      <c r="J140" s="363">
        <v>165</v>
      </c>
      <c r="K140" s="361">
        <f t="shared" si="4"/>
        <v>0</v>
      </c>
      <c r="N140" t="s">
        <v>961</v>
      </c>
    </row>
    <row r="141" spans="1:14" x14ac:dyDescent="0.25">
      <c r="A141" s="364" t="s">
        <v>466</v>
      </c>
      <c r="B141" t="s">
        <v>465</v>
      </c>
      <c r="C141" t="s">
        <v>962</v>
      </c>
      <c r="D141" s="363">
        <v>0</v>
      </c>
      <c r="E141" s="360"/>
      <c r="F141" s="363">
        <v>0</v>
      </c>
      <c r="G141" s="363"/>
      <c r="H141" s="363">
        <v>0</v>
      </c>
      <c r="I141" s="363"/>
      <c r="J141" s="363">
        <v>0</v>
      </c>
      <c r="K141" s="361">
        <f t="shared" si="4"/>
        <v>0</v>
      </c>
      <c r="N141" t="s">
        <v>962</v>
      </c>
    </row>
    <row r="142" spans="1:14" x14ac:dyDescent="0.25">
      <c r="A142" s="364" t="s">
        <v>468</v>
      </c>
      <c r="B142" t="s">
        <v>467</v>
      </c>
      <c r="C142" t="s">
        <v>963</v>
      </c>
      <c r="D142" s="363">
        <v>180</v>
      </c>
      <c r="E142" s="360"/>
      <c r="F142" s="363">
        <v>210</v>
      </c>
      <c r="G142" s="363"/>
      <c r="H142" s="363">
        <v>495</v>
      </c>
      <c r="I142" s="363"/>
      <c r="J142" s="363">
        <v>885</v>
      </c>
      <c r="K142" s="361">
        <f t="shared" si="4"/>
        <v>0</v>
      </c>
      <c r="N142" t="s">
        <v>963</v>
      </c>
    </row>
    <row r="143" spans="1:14" x14ac:dyDescent="0.25">
      <c r="A143" s="364" t="s">
        <v>470</v>
      </c>
      <c r="B143" t="s">
        <v>469</v>
      </c>
      <c r="C143" t="s">
        <v>964</v>
      </c>
      <c r="D143" s="363">
        <v>0</v>
      </c>
      <c r="E143" s="360"/>
      <c r="F143" s="363">
        <v>0</v>
      </c>
      <c r="G143" s="363"/>
      <c r="H143" s="363">
        <v>0</v>
      </c>
      <c r="I143" s="363"/>
      <c r="J143" s="363">
        <v>0</v>
      </c>
      <c r="K143" s="361">
        <f t="shared" si="4"/>
        <v>0</v>
      </c>
      <c r="N143" t="s">
        <v>964</v>
      </c>
    </row>
    <row r="144" spans="1:14" x14ac:dyDescent="0.25">
      <c r="A144" s="364" t="s">
        <v>472</v>
      </c>
      <c r="B144" t="s">
        <v>471</v>
      </c>
      <c r="C144" t="s">
        <v>965</v>
      </c>
      <c r="D144" s="363">
        <v>0</v>
      </c>
      <c r="E144" s="360"/>
      <c r="F144" s="363">
        <v>0</v>
      </c>
      <c r="G144" s="363"/>
      <c r="H144" s="363">
        <v>0</v>
      </c>
      <c r="I144" s="363"/>
      <c r="J144" s="363">
        <v>0</v>
      </c>
      <c r="K144" s="361">
        <f t="shared" si="4"/>
        <v>0</v>
      </c>
      <c r="N144" t="s">
        <v>965</v>
      </c>
    </row>
    <row r="145" spans="1:14" x14ac:dyDescent="0.25">
      <c r="A145" s="364" t="s">
        <v>474</v>
      </c>
      <c r="B145" t="s">
        <v>473</v>
      </c>
      <c r="C145" t="s">
        <v>966</v>
      </c>
      <c r="D145" s="363">
        <v>0</v>
      </c>
      <c r="E145" s="360"/>
      <c r="F145" s="363">
        <v>0</v>
      </c>
      <c r="G145" s="363"/>
      <c r="H145" s="363">
        <v>0</v>
      </c>
      <c r="I145" s="363"/>
      <c r="J145" s="363">
        <v>0</v>
      </c>
      <c r="K145" s="361">
        <f t="shared" si="4"/>
        <v>0</v>
      </c>
      <c r="N145" t="s">
        <v>966</v>
      </c>
    </row>
    <row r="146" spans="1:14" x14ac:dyDescent="0.25">
      <c r="A146" s="364" t="s">
        <v>476</v>
      </c>
      <c r="B146" t="s">
        <v>475</v>
      </c>
      <c r="C146" t="s">
        <v>967</v>
      </c>
      <c r="D146" s="363">
        <v>0</v>
      </c>
      <c r="E146" s="360"/>
      <c r="F146" s="363">
        <v>0</v>
      </c>
      <c r="G146" s="363"/>
      <c r="H146" s="363">
        <v>0</v>
      </c>
      <c r="I146" s="363"/>
      <c r="J146" s="363">
        <v>0</v>
      </c>
      <c r="K146" s="361">
        <f t="shared" si="4"/>
        <v>0</v>
      </c>
      <c r="N146" t="s">
        <v>967</v>
      </c>
    </row>
    <row r="147" spans="1:14" x14ac:dyDescent="0.25">
      <c r="A147" s="364" t="s">
        <v>478</v>
      </c>
      <c r="B147" t="s">
        <v>477</v>
      </c>
      <c r="C147" t="s">
        <v>968</v>
      </c>
      <c r="D147" s="363">
        <v>360</v>
      </c>
      <c r="E147" s="360"/>
      <c r="F147" s="363">
        <v>518</v>
      </c>
      <c r="G147" s="363"/>
      <c r="H147" s="363">
        <v>330</v>
      </c>
      <c r="I147" s="363"/>
      <c r="J147" s="363">
        <v>1208</v>
      </c>
      <c r="K147" s="361">
        <f t="shared" si="4"/>
        <v>0</v>
      </c>
      <c r="N147" t="s">
        <v>968</v>
      </c>
    </row>
    <row r="148" spans="1:14" x14ac:dyDescent="0.25">
      <c r="A148" s="364" t="s">
        <v>480</v>
      </c>
      <c r="B148" t="s">
        <v>479</v>
      </c>
      <c r="C148" t="s">
        <v>969</v>
      </c>
      <c r="D148" s="363">
        <v>360</v>
      </c>
      <c r="E148" s="360"/>
      <c r="F148" s="363">
        <v>210</v>
      </c>
      <c r="G148" s="363"/>
      <c r="H148" s="363">
        <v>165</v>
      </c>
      <c r="I148" s="363"/>
      <c r="J148" s="363">
        <v>735</v>
      </c>
      <c r="K148" s="361">
        <f t="shared" si="4"/>
        <v>0</v>
      </c>
      <c r="N148" t="s">
        <v>969</v>
      </c>
    </row>
    <row r="149" spans="1:14" x14ac:dyDescent="0.25">
      <c r="A149" s="364" t="s">
        <v>482</v>
      </c>
      <c r="B149" t="s">
        <v>481</v>
      </c>
      <c r="C149" t="s">
        <v>972</v>
      </c>
      <c r="D149" s="363">
        <v>0</v>
      </c>
      <c r="E149" s="360"/>
      <c r="F149" s="363">
        <v>0</v>
      </c>
      <c r="G149" s="363"/>
      <c r="H149" s="363">
        <v>0</v>
      </c>
      <c r="I149" s="363"/>
      <c r="J149" s="363">
        <v>0</v>
      </c>
      <c r="K149" s="361">
        <f t="shared" si="4"/>
        <v>0</v>
      </c>
      <c r="N149" t="s">
        <v>972</v>
      </c>
    </row>
    <row r="150" spans="1:14" x14ac:dyDescent="0.25">
      <c r="A150" s="364" t="s">
        <v>484</v>
      </c>
      <c r="B150" t="s">
        <v>483</v>
      </c>
      <c r="C150" t="s">
        <v>973</v>
      </c>
      <c r="D150" s="363">
        <v>834</v>
      </c>
      <c r="E150" s="360"/>
      <c r="F150" s="363">
        <v>1319.763942931258</v>
      </c>
      <c r="G150" s="363"/>
      <c r="H150" s="363">
        <v>693</v>
      </c>
      <c r="I150" s="363"/>
      <c r="J150" s="363">
        <v>2846.763942931258</v>
      </c>
      <c r="K150" s="361">
        <f t="shared" si="4"/>
        <v>0</v>
      </c>
      <c r="N150" t="s">
        <v>973</v>
      </c>
    </row>
    <row r="151" spans="1:14" x14ac:dyDescent="0.25">
      <c r="A151" s="364" t="s">
        <v>486</v>
      </c>
      <c r="B151" t="s">
        <v>485</v>
      </c>
      <c r="C151" t="s">
        <v>974</v>
      </c>
      <c r="D151" s="363">
        <v>5394</v>
      </c>
      <c r="E151" s="360"/>
      <c r="F151" s="363">
        <v>6062.8690012970164</v>
      </c>
      <c r="G151" s="363"/>
      <c r="H151" s="363">
        <v>4560</v>
      </c>
      <c r="I151" s="363"/>
      <c r="J151" s="363">
        <v>16016.869001297016</v>
      </c>
      <c r="K151" s="361">
        <f t="shared" si="4"/>
        <v>0</v>
      </c>
      <c r="N151" t="s">
        <v>974</v>
      </c>
    </row>
    <row r="152" spans="1:14" x14ac:dyDescent="0.25">
      <c r="A152" s="364" t="s">
        <v>488</v>
      </c>
      <c r="B152" t="s">
        <v>487</v>
      </c>
      <c r="C152" t="s">
        <v>975</v>
      </c>
      <c r="D152" s="363">
        <v>2655</v>
      </c>
      <c r="E152" s="360"/>
      <c r="F152" s="363">
        <v>3574.885214007782</v>
      </c>
      <c r="G152" s="363"/>
      <c r="H152" s="363">
        <v>1485</v>
      </c>
      <c r="I152" s="363"/>
      <c r="J152" s="363">
        <v>7714.8852140077815</v>
      </c>
      <c r="K152" s="361">
        <f t="shared" si="4"/>
        <v>0</v>
      </c>
      <c r="N152" t="s">
        <v>975</v>
      </c>
    </row>
    <row r="153" spans="1:14" x14ac:dyDescent="0.25">
      <c r="A153" s="364" t="s">
        <v>492</v>
      </c>
      <c r="B153" t="s">
        <v>491</v>
      </c>
      <c r="C153" t="s">
        <v>976</v>
      </c>
      <c r="D153" s="363">
        <v>0</v>
      </c>
      <c r="E153" s="360"/>
      <c r="F153" s="363">
        <v>0</v>
      </c>
      <c r="G153" s="363"/>
      <c r="H153" s="363">
        <v>0</v>
      </c>
      <c r="I153" s="363"/>
      <c r="J153" s="363">
        <v>0</v>
      </c>
      <c r="K153" s="361">
        <f t="shared" si="4"/>
        <v>0</v>
      </c>
      <c r="N153" t="s">
        <v>976</v>
      </c>
    </row>
    <row r="154" spans="1:14" x14ac:dyDescent="0.25">
      <c r="A154" s="364" t="s">
        <v>494</v>
      </c>
      <c r="B154" t="s">
        <v>493</v>
      </c>
      <c r="C154" t="s">
        <v>977</v>
      </c>
      <c r="D154" s="363">
        <v>900</v>
      </c>
      <c r="E154" s="360"/>
      <c r="F154" s="363">
        <v>840</v>
      </c>
      <c r="G154" s="363"/>
      <c r="H154" s="363">
        <v>1815</v>
      </c>
      <c r="I154" s="363"/>
      <c r="J154" s="363">
        <v>3555</v>
      </c>
      <c r="K154" s="361">
        <f t="shared" si="4"/>
        <v>0</v>
      </c>
      <c r="N154" t="s">
        <v>977</v>
      </c>
    </row>
    <row r="155" spans="1:14" x14ac:dyDescent="0.25">
      <c r="A155" s="364" t="s">
        <v>495</v>
      </c>
      <c r="B155">
        <v>206106</v>
      </c>
      <c r="C155" t="s">
        <v>978</v>
      </c>
      <c r="D155" s="363">
        <v>2696</v>
      </c>
      <c r="E155" s="360"/>
      <c r="F155" s="363">
        <v>1731.6799999999998</v>
      </c>
      <c r="G155" s="363"/>
      <c r="H155" s="363">
        <v>1967.7</v>
      </c>
      <c r="I155" s="363"/>
      <c r="J155" s="363">
        <v>6395.38</v>
      </c>
      <c r="K155" s="361">
        <f t="shared" si="4"/>
        <v>0</v>
      </c>
      <c r="N155" t="s">
        <v>978</v>
      </c>
    </row>
    <row r="156" spans="1:14" x14ac:dyDescent="0.25">
      <c r="A156" s="364" t="s">
        <v>499</v>
      </c>
      <c r="B156" t="s">
        <v>498</v>
      </c>
      <c r="C156" t="s">
        <v>979</v>
      </c>
      <c r="D156" s="363">
        <v>1402.0622568093386</v>
      </c>
      <c r="E156" s="360"/>
      <c r="F156" s="363">
        <v>1685.7392996108949</v>
      </c>
      <c r="G156" s="363"/>
      <c r="H156" s="363">
        <v>1320</v>
      </c>
      <c r="I156" s="363"/>
      <c r="J156" s="363">
        <v>4407.8015564202333</v>
      </c>
      <c r="K156" s="361">
        <f t="shared" si="4"/>
        <v>0</v>
      </c>
      <c r="N156" t="s">
        <v>979</v>
      </c>
    </row>
    <row r="157" spans="1:14" x14ac:dyDescent="0.25">
      <c r="A157" s="364" t="s">
        <v>501</v>
      </c>
      <c r="B157" t="s">
        <v>500</v>
      </c>
      <c r="C157" t="s">
        <v>980</v>
      </c>
      <c r="D157" s="363">
        <v>1129.0622568093386</v>
      </c>
      <c r="E157" s="360"/>
      <c r="F157" s="363">
        <v>546</v>
      </c>
      <c r="G157" s="363"/>
      <c r="H157" s="363">
        <v>1371</v>
      </c>
      <c r="I157" s="363"/>
      <c r="J157" s="363">
        <v>3046.0622568093386</v>
      </c>
      <c r="K157" s="361">
        <f t="shared" si="4"/>
        <v>0</v>
      </c>
      <c r="N157" t="s">
        <v>980</v>
      </c>
    </row>
    <row r="158" spans="1:14" x14ac:dyDescent="0.25">
      <c r="A158" s="364" t="s">
        <v>503</v>
      </c>
      <c r="B158" t="s">
        <v>502</v>
      </c>
      <c r="C158" t="s">
        <v>981</v>
      </c>
      <c r="D158" s="363">
        <v>3431.2285343709468</v>
      </c>
      <c r="E158" s="360"/>
      <c r="F158" s="363">
        <v>2815.0622568093386</v>
      </c>
      <c r="G158" s="363"/>
      <c r="H158" s="363">
        <v>2746.73</v>
      </c>
      <c r="I158" s="363"/>
      <c r="J158" s="363">
        <v>8993.0207911802845</v>
      </c>
      <c r="K158" s="361">
        <f t="shared" si="4"/>
        <v>0</v>
      </c>
      <c r="N158" t="s">
        <v>981</v>
      </c>
    </row>
    <row r="159" spans="1:14" x14ac:dyDescent="0.25">
      <c r="A159" s="364" t="s">
        <v>1052</v>
      </c>
      <c r="B159" t="s">
        <v>983</v>
      </c>
      <c r="C159" t="s">
        <v>983</v>
      </c>
      <c r="D159" s="363">
        <v>2189.0311284046693</v>
      </c>
      <c r="E159" s="360"/>
      <c r="F159" s="363">
        <v>2437.52</v>
      </c>
      <c r="G159" s="363"/>
      <c r="H159" s="363">
        <v>0</v>
      </c>
      <c r="I159" s="363"/>
      <c r="J159" s="363">
        <v>4626.5511284046697</v>
      </c>
      <c r="K159" s="361">
        <f t="shared" si="4"/>
        <v>0</v>
      </c>
      <c r="N159" t="s">
        <v>983</v>
      </c>
    </row>
    <row r="160" spans="1:14" x14ac:dyDescent="0.25">
      <c r="A160" s="364" t="s">
        <v>1053</v>
      </c>
      <c r="B160" s="357" t="s">
        <v>1054</v>
      </c>
      <c r="C160" s="357" t="s">
        <v>1054</v>
      </c>
      <c r="D160" s="363">
        <v>615.79896238651099</v>
      </c>
      <c r="E160" s="360"/>
      <c r="F160" s="363">
        <v>210</v>
      </c>
      <c r="G160" s="363"/>
      <c r="H160" s="363">
        <v>0</v>
      </c>
      <c r="I160" s="363"/>
      <c r="J160" s="363">
        <v>825.79896238651099</v>
      </c>
      <c r="K160" s="361">
        <f t="shared" si="4"/>
        <v>0</v>
      </c>
      <c r="N160" t="s">
        <v>1054</v>
      </c>
    </row>
    <row r="161" spans="1:14" x14ac:dyDescent="0.25">
      <c r="A161" s="364" t="s">
        <v>504</v>
      </c>
      <c r="B161">
        <v>206134</v>
      </c>
      <c r="C161" t="s">
        <v>984</v>
      </c>
      <c r="D161" s="363">
        <v>72</v>
      </c>
      <c r="E161" s="360"/>
      <c r="F161" s="363">
        <v>546</v>
      </c>
      <c r="G161" s="363"/>
      <c r="H161" s="363">
        <v>0</v>
      </c>
      <c r="I161" s="363"/>
      <c r="J161" s="363">
        <v>618</v>
      </c>
      <c r="K161" s="361">
        <f t="shared" si="4"/>
        <v>0</v>
      </c>
      <c r="N161" t="s">
        <v>984</v>
      </c>
    </row>
    <row r="162" spans="1:14" x14ac:dyDescent="0.25">
      <c r="A162" s="364" t="s">
        <v>985</v>
      </c>
      <c r="B162" t="s">
        <v>986</v>
      </c>
      <c r="C162" t="s">
        <v>986</v>
      </c>
      <c r="D162" s="363">
        <v>0</v>
      </c>
      <c r="E162" s="360"/>
      <c r="F162" s="363">
        <v>0</v>
      </c>
      <c r="G162" s="363"/>
      <c r="H162" s="363">
        <v>1655.4</v>
      </c>
      <c r="I162" s="363"/>
      <c r="J162" s="363">
        <v>1655.4</v>
      </c>
      <c r="K162" s="361">
        <f t="shared" si="4"/>
        <v>0</v>
      </c>
      <c r="N162" t="s">
        <v>986</v>
      </c>
    </row>
    <row r="163" spans="1:14" x14ac:dyDescent="0.25">
      <c r="A163" s="364" t="s">
        <v>507</v>
      </c>
      <c r="B163">
        <v>206109</v>
      </c>
      <c r="C163" t="s">
        <v>987</v>
      </c>
      <c r="D163" s="363">
        <v>1080</v>
      </c>
      <c r="E163" s="360"/>
      <c r="F163" s="363">
        <v>1470</v>
      </c>
      <c r="G163" s="363"/>
      <c r="H163" s="363">
        <v>330</v>
      </c>
      <c r="I163" s="363"/>
      <c r="J163" s="363">
        <v>2880</v>
      </c>
      <c r="K163" s="361">
        <f t="shared" si="4"/>
        <v>0</v>
      </c>
      <c r="N163" t="s">
        <v>987</v>
      </c>
    </row>
    <row r="164" spans="1:14" x14ac:dyDescent="0.25">
      <c r="A164" s="364" t="s">
        <v>517</v>
      </c>
      <c r="B164" t="s">
        <v>516</v>
      </c>
      <c r="C164" t="s">
        <v>988</v>
      </c>
      <c r="D164" s="363">
        <v>2628</v>
      </c>
      <c r="E164" s="360"/>
      <c r="F164" s="363">
        <v>3570</v>
      </c>
      <c r="G164" s="363"/>
      <c r="H164" s="363">
        <v>1980</v>
      </c>
      <c r="I164" s="363"/>
      <c r="J164" s="363">
        <v>8178</v>
      </c>
      <c r="K164" s="361">
        <f t="shared" si="4"/>
        <v>0</v>
      </c>
      <c r="N164" t="s">
        <v>988</v>
      </c>
    </row>
    <row r="165" spans="1:14" x14ac:dyDescent="0.25">
      <c r="A165" s="364" t="s">
        <v>510</v>
      </c>
      <c r="B165" t="s">
        <v>509</v>
      </c>
      <c r="C165" t="s">
        <v>989</v>
      </c>
      <c r="D165" s="363">
        <v>3358.028534370947</v>
      </c>
      <c r="E165" s="360"/>
      <c r="F165" s="363">
        <v>3249</v>
      </c>
      <c r="G165" s="363"/>
      <c r="H165" s="363">
        <v>4653</v>
      </c>
      <c r="I165" s="363"/>
      <c r="J165" s="363">
        <v>11260.028534370947</v>
      </c>
      <c r="K165" s="361">
        <f t="shared" ref="K165:K180" si="5">E165+G165+I165</f>
        <v>0</v>
      </c>
      <c r="N165" t="s">
        <v>989</v>
      </c>
    </row>
    <row r="166" spans="1:14" x14ac:dyDescent="0.25">
      <c r="A166" s="364" t="s">
        <v>512</v>
      </c>
      <c r="B166" t="s">
        <v>511</v>
      </c>
      <c r="C166" t="s">
        <v>990</v>
      </c>
      <c r="D166" s="363">
        <v>180</v>
      </c>
      <c r="E166" s="360"/>
      <c r="F166" s="363">
        <v>0</v>
      </c>
      <c r="G166" s="363"/>
      <c r="H166" s="363">
        <v>165</v>
      </c>
      <c r="I166" s="363"/>
      <c r="J166" s="363">
        <v>345</v>
      </c>
      <c r="K166" s="361">
        <f t="shared" si="5"/>
        <v>0</v>
      </c>
      <c r="N166" t="s">
        <v>990</v>
      </c>
    </row>
    <row r="167" spans="1:14" x14ac:dyDescent="0.25">
      <c r="A167" s="364" t="s">
        <v>991</v>
      </c>
      <c r="B167" t="s">
        <v>992</v>
      </c>
      <c r="C167" t="s">
        <v>992</v>
      </c>
      <c r="D167" s="363">
        <v>540</v>
      </c>
      <c r="E167" s="360"/>
      <c r="F167" s="363">
        <v>210</v>
      </c>
      <c r="G167" s="363"/>
      <c r="H167" s="363">
        <v>495</v>
      </c>
      <c r="I167" s="363"/>
      <c r="J167" s="363">
        <v>1245</v>
      </c>
      <c r="K167" s="361">
        <f t="shared" si="5"/>
        <v>0</v>
      </c>
      <c r="N167" t="s">
        <v>992</v>
      </c>
    </row>
    <row r="168" spans="1:14" x14ac:dyDescent="0.25">
      <c r="A168" s="364" t="s">
        <v>514</v>
      </c>
      <c r="B168" t="s">
        <v>513</v>
      </c>
      <c r="C168" t="s">
        <v>993</v>
      </c>
      <c r="D168" s="363">
        <v>1356</v>
      </c>
      <c r="E168" s="360"/>
      <c r="F168" s="363">
        <v>630</v>
      </c>
      <c r="G168" s="363"/>
      <c r="H168" s="363">
        <v>1641.63</v>
      </c>
      <c r="I168" s="363"/>
      <c r="J168" s="363">
        <v>3627.63</v>
      </c>
      <c r="K168" s="361">
        <f t="shared" si="5"/>
        <v>0</v>
      </c>
      <c r="N168" t="s">
        <v>993</v>
      </c>
    </row>
    <row r="169" spans="1:14" x14ac:dyDescent="0.25">
      <c r="A169" s="364" t="s">
        <v>515</v>
      </c>
      <c r="B169">
        <v>509197</v>
      </c>
      <c r="C169" t="s">
        <v>994</v>
      </c>
      <c r="D169" s="363">
        <v>895.88</v>
      </c>
      <c r="E169" s="360"/>
      <c r="F169" s="363">
        <v>610.05999999999995</v>
      </c>
      <c r="G169" s="363"/>
      <c r="H169" s="363">
        <v>1293.72</v>
      </c>
      <c r="I169" s="363"/>
      <c r="J169" s="363">
        <v>2799.66</v>
      </c>
      <c r="K169" s="361">
        <f t="shared" si="5"/>
        <v>0</v>
      </c>
      <c r="N169" t="s">
        <v>994</v>
      </c>
    </row>
    <row r="170" spans="1:14" x14ac:dyDescent="0.25">
      <c r="A170" s="364" t="s">
        <v>519</v>
      </c>
      <c r="B170" t="s">
        <v>518</v>
      </c>
      <c r="C170" t="s">
        <v>997</v>
      </c>
      <c r="D170" s="363">
        <v>3420</v>
      </c>
      <c r="E170" s="360"/>
      <c r="F170" s="363">
        <v>3570</v>
      </c>
      <c r="G170" s="363"/>
      <c r="H170" s="363">
        <v>2145</v>
      </c>
      <c r="I170" s="363"/>
      <c r="J170" s="363">
        <v>9135</v>
      </c>
      <c r="K170" s="361">
        <f t="shared" si="5"/>
        <v>0</v>
      </c>
      <c r="N170" t="s">
        <v>997</v>
      </c>
    </row>
    <row r="171" spans="1:14" x14ac:dyDescent="0.25">
      <c r="A171" s="364" t="s">
        <v>520</v>
      </c>
      <c r="B171">
        <v>206117</v>
      </c>
      <c r="C171" t="s">
        <v>998</v>
      </c>
      <c r="D171" s="363">
        <v>0</v>
      </c>
      <c r="E171" s="360"/>
      <c r="F171" s="363">
        <v>0</v>
      </c>
      <c r="G171" s="363"/>
      <c r="H171" s="363">
        <v>0</v>
      </c>
      <c r="I171" s="363"/>
      <c r="J171" s="363">
        <v>0</v>
      </c>
      <c r="K171" s="361">
        <f t="shared" si="5"/>
        <v>0</v>
      </c>
      <c r="N171" t="s">
        <v>998</v>
      </c>
    </row>
    <row r="172" spans="1:14" x14ac:dyDescent="0.25">
      <c r="A172" s="364" t="s">
        <v>521</v>
      </c>
      <c r="B172">
        <v>206141</v>
      </c>
      <c r="C172" t="s">
        <v>999</v>
      </c>
      <c r="D172" s="363">
        <v>72</v>
      </c>
      <c r="E172" s="360"/>
      <c r="F172" s="363">
        <v>0</v>
      </c>
      <c r="G172" s="363"/>
      <c r="H172" s="363">
        <v>390</v>
      </c>
      <c r="I172" s="363"/>
      <c r="J172" s="363">
        <v>462</v>
      </c>
      <c r="K172" s="361">
        <f t="shared" si="5"/>
        <v>0</v>
      </c>
      <c r="N172" t="s">
        <v>999</v>
      </c>
    </row>
    <row r="173" spans="1:14" x14ac:dyDescent="0.25">
      <c r="A173" s="364" t="s">
        <v>523</v>
      </c>
      <c r="B173" t="s">
        <v>522</v>
      </c>
      <c r="C173" t="s">
        <v>1000</v>
      </c>
      <c r="D173" s="363">
        <v>0</v>
      </c>
      <c r="E173" s="360"/>
      <c r="F173" s="363">
        <v>0</v>
      </c>
      <c r="G173" s="363"/>
      <c r="H173" s="363">
        <v>0</v>
      </c>
      <c r="I173" s="363"/>
      <c r="J173" s="363">
        <v>0</v>
      </c>
      <c r="K173" s="361">
        <f t="shared" si="5"/>
        <v>0</v>
      </c>
      <c r="N173" t="s">
        <v>1000</v>
      </c>
    </row>
    <row r="174" spans="1:14" x14ac:dyDescent="0.25">
      <c r="A174" s="364" t="s">
        <v>525</v>
      </c>
      <c r="B174" t="s">
        <v>524</v>
      </c>
      <c r="C174" t="s">
        <v>1001</v>
      </c>
      <c r="D174" s="363">
        <v>416.48</v>
      </c>
      <c r="E174" s="360"/>
      <c r="F174" s="363">
        <v>380</v>
      </c>
      <c r="G174" s="363"/>
      <c r="H174" s="363">
        <v>328.8</v>
      </c>
      <c r="I174" s="363"/>
      <c r="J174" s="363">
        <v>1125.28</v>
      </c>
      <c r="K174" s="361">
        <f t="shared" si="5"/>
        <v>0</v>
      </c>
      <c r="N174" t="s">
        <v>1001</v>
      </c>
    </row>
    <row r="175" spans="1:14" x14ac:dyDescent="0.25">
      <c r="A175" s="364" t="s">
        <v>1055</v>
      </c>
      <c r="B175">
        <v>258408</v>
      </c>
      <c r="C175" t="s">
        <v>1002</v>
      </c>
      <c r="D175" s="363">
        <v>5041.770428015564</v>
      </c>
      <c r="E175" s="360"/>
      <c r="F175" s="363">
        <v>4905</v>
      </c>
      <c r="G175" s="363"/>
      <c r="H175" s="363">
        <v>5085</v>
      </c>
      <c r="I175" s="363"/>
      <c r="J175" s="363">
        <v>15031.770428015563</v>
      </c>
      <c r="K175" s="361">
        <f t="shared" si="5"/>
        <v>0</v>
      </c>
      <c r="N175" t="s">
        <v>1002</v>
      </c>
    </row>
    <row r="176" spans="1:14" x14ac:dyDescent="0.25">
      <c r="A176" s="364" t="s">
        <v>527</v>
      </c>
      <c r="B176">
        <v>258406</v>
      </c>
      <c r="C176" t="s">
        <v>1003</v>
      </c>
      <c r="D176" s="363">
        <v>508.24</v>
      </c>
      <c r="E176" s="360"/>
      <c r="F176" s="363">
        <v>396.32</v>
      </c>
      <c r="G176" s="363"/>
      <c r="H176" s="363">
        <v>1100</v>
      </c>
      <c r="I176" s="363"/>
      <c r="J176" s="363">
        <v>2004.56</v>
      </c>
      <c r="K176" s="361">
        <f t="shared" si="5"/>
        <v>0</v>
      </c>
      <c r="N176" t="s">
        <v>1003</v>
      </c>
    </row>
    <row r="177" spans="1:14" x14ac:dyDescent="0.25">
      <c r="A177" s="364" t="s">
        <v>526</v>
      </c>
      <c r="B177" t="s">
        <v>1056</v>
      </c>
      <c r="C177" t="s">
        <v>1056</v>
      </c>
      <c r="D177" s="363">
        <v>817.93774319066142</v>
      </c>
      <c r="E177" s="360"/>
      <c r="F177" s="363">
        <v>170</v>
      </c>
      <c r="G177" s="363"/>
      <c r="H177" s="363">
        <v>495</v>
      </c>
      <c r="I177" s="363"/>
      <c r="J177" s="363">
        <v>1482.9377431906614</v>
      </c>
      <c r="K177" s="361">
        <f t="shared" si="5"/>
        <v>0</v>
      </c>
      <c r="N177" t="s">
        <v>1056</v>
      </c>
    </row>
    <row r="178" spans="1:14" x14ac:dyDescent="0.25">
      <c r="A178" s="364" t="s">
        <v>528</v>
      </c>
      <c r="B178" s="381" t="s">
        <v>1004</v>
      </c>
      <c r="C178" s="381" t="s">
        <v>1004</v>
      </c>
      <c r="D178" s="363">
        <v>2304.7504669260702</v>
      </c>
      <c r="E178" s="360"/>
      <c r="F178" s="363">
        <v>2575.3281452658885</v>
      </c>
      <c r="G178" s="363"/>
      <c r="H178" s="363">
        <v>1915.18</v>
      </c>
      <c r="I178" s="363"/>
      <c r="J178" s="363">
        <v>6795.2586121919594</v>
      </c>
      <c r="K178" s="361">
        <f t="shared" si="5"/>
        <v>0</v>
      </c>
      <c r="N178" t="s">
        <v>1004</v>
      </c>
    </row>
    <row r="179" spans="1:14" x14ac:dyDescent="0.25">
      <c r="A179" s="364" t="s">
        <v>530</v>
      </c>
      <c r="B179" t="s">
        <v>529</v>
      </c>
      <c r="C179" t="s">
        <v>1005</v>
      </c>
      <c r="D179" s="363">
        <v>1162.0622568093386</v>
      </c>
      <c r="E179" s="360"/>
      <c r="F179" s="363">
        <v>1470.704280155642</v>
      </c>
      <c r="G179" s="363"/>
      <c r="H179" s="363">
        <v>975</v>
      </c>
      <c r="I179" s="363"/>
      <c r="J179" s="363">
        <v>3607.7665369649803</v>
      </c>
      <c r="K179" s="361">
        <f t="shared" si="5"/>
        <v>0</v>
      </c>
      <c r="N179" t="s">
        <v>1005</v>
      </c>
    </row>
    <row r="180" spans="1:14" x14ac:dyDescent="0.25">
      <c r="A180" s="364" t="s">
        <v>531</v>
      </c>
      <c r="B180">
        <v>206146</v>
      </c>
      <c r="C180" t="s">
        <v>1006</v>
      </c>
      <c r="D180" s="363">
        <v>1080</v>
      </c>
      <c r="E180" s="360"/>
      <c r="F180" s="363">
        <v>1406.9066147859921</v>
      </c>
      <c r="G180" s="363"/>
      <c r="H180" s="363">
        <v>660</v>
      </c>
      <c r="I180" s="363"/>
      <c r="J180" s="363">
        <v>3146.9066147859921</v>
      </c>
      <c r="K180" s="361">
        <f t="shared" si="5"/>
        <v>0</v>
      </c>
      <c r="N180" t="s">
        <v>1006</v>
      </c>
    </row>
    <row r="181" spans="1:14" x14ac:dyDescent="0.25">
      <c r="A181" s="364" t="s">
        <v>533</v>
      </c>
      <c r="B181" t="s">
        <v>532</v>
      </c>
      <c r="C181" s="380" t="s">
        <v>1007</v>
      </c>
      <c r="D181" s="363">
        <v>1570.5836575875487</v>
      </c>
      <c r="E181" s="360"/>
      <c r="F181" s="363">
        <v>1305</v>
      </c>
      <c r="G181" s="363"/>
      <c r="H181" s="363">
        <v>0</v>
      </c>
      <c r="I181" s="363"/>
      <c r="J181" s="363">
        <v>2875.5836575875487</v>
      </c>
      <c r="K181" s="361">
        <f t="shared" ref="K181:K207" si="6">E181+G181+I181</f>
        <v>0</v>
      </c>
      <c r="N181" t="s">
        <v>1007</v>
      </c>
    </row>
    <row r="182" spans="1:14" x14ac:dyDescent="0.25">
      <c r="A182" s="364" t="s">
        <v>1057</v>
      </c>
      <c r="B182" s="382" t="s">
        <v>1058</v>
      </c>
      <c r="C182" s="382" t="s">
        <v>1058</v>
      </c>
      <c r="D182" s="363">
        <v>0</v>
      </c>
      <c r="E182" s="360"/>
      <c r="F182" s="363">
        <v>825.42801556420227</v>
      </c>
      <c r="G182" s="363"/>
      <c r="H182" s="363">
        <v>0</v>
      </c>
      <c r="I182" s="363"/>
      <c r="J182" s="363">
        <v>825.42801556420227</v>
      </c>
      <c r="K182" s="361"/>
      <c r="N182" t="s">
        <v>1058</v>
      </c>
    </row>
    <row r="183" spans="1:14" x14ac:dyDescent="0.25">
      <c r="A183" s="364" t="s">
        <v>534</v>
      </c>
      <c r="B183">
        <v>2534321</v>
      </c>
      <c r="C183" t="s">
        <v>1010</v>
      </c>
      <c r="D183" s="363">
        <v>4483.0285343709465</v>
      </c>
      <c r="E183" s="360"/>
      <c r="F183" s="363">
        <v>3780</v>
      </c>
      <c r="G183" s="363"/>
      <c r="H183" s="363">
        <v>3960</v>
      </c>
      <c r="I183" s="363"/>
      <c r="J183" s="363">
        <v>12223.028534370947</v>
      </c>
      <c r="K183" s="361">
        <f t="shared" si="6"/>
        <v>0</v>
      </c>
      <c r="N183" t="s">
        <v>1010</v>
      </c>
    </row>
    <row r="184" spans="1:14" x14ac:dyDescent="0.25">
      <c r="A184" s="364" t="s">
        <v>536</v>
      </c>
      <c r="B184" t="s">
        <v>535</v>
      </c>
      <c r="C184" t="s">
        <v>1011</v>
      </c>
      <c r="D184" s="363">
        <v>0</v>
      </c>
      <c r="E184" s="360"/>
      <c r="F184" s="363">
        <v>0</v>
      </c>
      <c r="G184" s="363"/>
      <c r="H184" s="363">
        <v>462</v>
      </c>
      <c r="I184" s="363"/>
      <c r="J184" s="363">
        <v>462</v>
      </c>
      <c r="K184" s="361">
        <f t="shared" si="6"/>
        <v>0</v>
      </c>
      <c r="N184" t="s">
        <v>1011</v>
      </c>
    </row>
    <row r="185" spans="1:14" x14ac:dyDescent="0.25">
      <c r="A185" s="364" t="s">
        <v>538</v>
      </c>
      <c r="B185" t="s">
        <v>537</v>
      </c>
      <c r="C185" t="s">
        <v>1012</v>
      </c>
      <c r="D185" s="363">
        <v>1155</v>
      </c>
      <c r="E185" s="360"/>
      <c r="F185" s="363">
        <v>2070</v>
      </c>
      <c r="G185" s="363"/>
      <c r="H185" s="363">
        <v>990</v>
      </c>
      <c r="I185" s="363"/>
      <c r="J185" s="363">
        <v>4215</v>
      </c>
      <c r="K185" s="361">
        <f t="shared" si="6"/>
        <v>0</v>
      </c>
      <c r="N185" t="s">
        <v>1012</v>
      </c>
    </row>
    <row r="186" spans="1:14" x14ac:dyDescent="0.25">
      <c r="A186" s="364" t="s">
        <v>540</v>
      </c>
      <c r="B186" t="s">
        <v>539</v>
      </c>
      <c r="C186" t="s">
        <v>1013</v>
      </c>
      <c r="D186" s="363">
        <v>4616.5090012970168</v>
      </c>
      <c r="E186" s="360"/>
      <c r="F186" s="363">
        <v>1788.8000000000002</v>
      </c>
      <c r="G186" s="363"/>
      <c r="H186" s="363">
        <v>4906</v>
      </c>
      <c r="I186" s="363"/>
      <c r="J186" s="363">
        <v>11311.309001297017</v>
      </c>
      <c r="K186" s="361">
        <f t="shared" si="6"/>
        <v>0</v>
      </c>
      <c r="N186" t="s">
        <v>1013</v>
      </c>
    </row>
    <row r="187" spans="1:14" x14ac:dyDescent="0.25">
      <c r="A187" s="364" t="s">
        <v>542</v>
      </c>
      <c r="B187" t="s">
        <v>541</v>
      </c>
      <c r="C187" t="s">
        <v>1016</v>
      </c>
      <c r="D187" s="363">
        <v>1515</v>
      </c>
      <c r="E187" s="360"/>
      <c r="F187" s="363">
        <v>2015</v>
      </c>
      <c r="G187" s="363"/>
      <c r="H187" s="363">
        <v>1760</v>
      </c>
      <c r="I187" s="363"/>
      <c r="J187" s="363">
        <v>5290</v>
      </c>
      <c r="K187" s="361">
        <f t="shared" si="6"/>
        <v>0</v>
      </c>
      <c r="N187" t="s">
        <v>1016</v>
      </c>
    </row>
    <row r="188" spans="1:14" x14ac:dyDescent="0.25">
      <c r="A188" s="364" t="s">
        <v>544</v>
      </c>
      <c r="B188" t="s">
        <v>543</v>
      </c>
      <c r="C188" t="s">
        <v>1017</v>
      </c>
      <c r="D188" s="363">
        <v>2274.8754863813228</v>
      </c>
      <c r="E188" s="360"/>
      <c r="F188" s="363">
        <v>4072.2334630350197</v>
      </c>
      <c r="G188" s="363"/>
      <c r="H188" s="363">
        <v>2607</v>
      </c>
      <c r="I188" s="363"/>
      <c r="J188" s="363">
        <v>8954.1089494163425</v>
      </c>
      <c r="K188" s="361">
        <f t="shared" si="6"/>
        <v>0</v>
      </c>
      <c r="N188" t="s">
        <v>1017</v>
      </c>
    </row>
    <row r="189" spans="1:14" x14ac:dyDescent="0.25">
      <c r="A189" s="364" t="s">
        <v>546</v>
      </c>
      <c r="B189" t="s">
        <v>545</v>
      </c>
      <c r="C189" t="s">
        <v>1018</v>
      </c>
      <c r="D189" s="363">
        <v>1785</v>
      </c>
      <c r="E189" s="360"/>
      <c r="F189" s="363">
        <v>2310</v>
      </c>
      <c r="G189" s="363"/>
      <c r="H189" s="363">
        <v>2130</v>
      </c>
      <c r="I189" s="363"/>
      <c r="J189" s="363">
        <v>6225</v>
      </c>
      <c r="K189" s="361">
        <f t="shared" si="6"/>
        <v>0</v>
      </c>
      <c r="N189" t="s">
        <v>1018</v>
      </c>
    </row>
    <row r="190" spans="1:14" x14ac:dyDescent="0.25">
      <c r="A190" s="364" t="s">
        <v>548</v>
      </c>
      <c r="B190" t="s">
        <v>547</v>
      </c>
      <c r="C190" t="s">
        <v>1019</v>
      </c>
      <c r="D190" s="363">
        <v>948</v>
      </c>
      <c r="E190" s="360"/>
      <c r="F190" s="363">
        <v>1204.408560311284</v>
      </c>
      <c r="G190" s="363"/>
      <c r="H190" s="363">
        <v>1023</v>
      </c>
      <c r="I190" s="363"/>
      <c r="J190" s="363">
        <v>3175.408560311284</v>
      </c>
      <c r="K190" s="361">
        <f t="shared" si="6"/>
        <v>0</v>
      </c>
      <c r="N190" t="s">
        <v>1019</v>
      </c>
    </row>
    <row r="191" spans="1:14" x14ac:dyDescent="0.25">
      <c r="A191" s="364" t="s">
        <v>550</v>
      </c>
      <c r="B191" t="s">
        <v>549</v>
      </c>
      <c r="C191" t="s">
        <v>1020</v>
      </c>
      <c r="D191" s="363">
        <v>0</v>
      </c>
      <c r="E191" s="360"/>
      <c r="F191" s="363">
        <v>0</v>
      </c>
      <c r="G191" s="363"/>
      <c r="H191" s="363">
        <v>0</v>
      </c>
      <c r="I191" s="363"/>
      <c r="J191" s="363">
        <v>0</v>
      </c>
      <c r="K191" s="361">
        <f t="shared" si="6"/>
        <v>0</v>
      </c>
      <c r="N191" t="s">
        <v>1020</v>
      </c>
    </row>
    <row r="192" spans="1:14" x14ac:dyDescent="0.25">
      <c r="A192" s="364" t="s">
        <v>1021</v>
      </c>
      <c r="B192" t="s">
        <v>1022</v>
      </c>
      <c r="C192" t="s">
        <v>1022</v>
      </c>
      <c r="D192" s="363">
        <v>540</v>
      </c>
      <c r="E192" s="360"/>
      <c r="F192" s="363">
        <v>2070</v>
      </c>
      <c r="G192" s="363"/>
      <c r="H192" s="363">
        <v>660</v>
      </c>
      <c r="I192" s="363"/>
      <c r="J192" s="363">
        <v>3270</v>
      </c>
      <c r="K192" s="361">
        <f t="shared" si="6"/>
        <v>0</v>
      </c>
      <c r="N192" t="s">
        <v>1022</v>
      </c>
    </row>
    <row r="193" spans="1:14" x14ac:dyDescent="0.25">
      <c r="A193" s="364" t="s">
        <v>553</v>
      </c>
      <c r="B193" t="s">
        <v>552</v>
      </c>
      <c r="C193" t="s">
        <v>1023</v>
      </c>
      <c r="D193" s="363">
        <v>1305</v>
      </c>
      <c r="E193" s="360"/>
      <c r="F193" s="363">
        <v>1005</v>
      </c>
      <c r="G193" s="363"/>
      <c r="H193" s="363">
        <v>1485</v>
      </c>
      <c r="I193" s="363"/>
      <c r="J193" s="363">
        <v>3795</v>
      </c>
      <c r="K193" s="361">
        <f t="shared" si="6"/>
        <v>0</v>
      </c>
      <c r="N193" t="s">
        <v>1023</v>
      </c>
    </row>
    <row r="194" spans="1:14" x14ac:dyDescent="0.25">
      <c r="A194" s="364" t="s">
        <v>554</v>
      </c>
      <c r="B194" t="s">
        <v>1024</v>
      </c>
      <c r="C194" t="s">
        <v>1024</v>
      </c>
      <c r="D194" s="363">
        <v>3325.4895979247731</v>
      </c>
      <c r="E194" s="360"/>
      <c r="F194" s="363">
        <v>3821.3793514915697</v>
      </c>
      <c r="G194" s="363"/>
      <c r="H194" s="363">
        <v>2136.52</v>
      </c>
      <c r="I194" s="363"/>
      <c r="J194" s="363">
        <v>9283.3889494163432</v>
      </c>
      <c r="K194" s="361">
        <f t="shared" si="6"/>
        <v>0</v>
      </c>
      <c r="N194" t="s">
        <v>1024</v>
      </c>
    </row>
    <row r="195" spans="1:14" x14ac:dyDescent="0.25">
      <c r="A195" s="364" t="s">
        <v>556</v>
      </c>
      <c r="B195" t="s">
        <v>555</v>
      </c>
      <c r="C195" t="s">
        <v>1025</v>
      </c>
      <c r="D195" s="363">
        <v>180</v>
      </c>
      <c r="E195" s="360"/>
      <c r="F195" s="363">
        <v>420</v>
      </c>
      <c r="G195" s="363"/>
      <c r="H195" s="363">
        <v>165</v>
      </c>
      <c r="I195" s="363"/>
      <c r="J195" s="363">
        <v>765</v>
      </c>
      <c r="K195" s="361">
        <f t="shared" si="6"/>
        <v>0</v>
      </c>
      <c r="N195" t="s">
        <v>1025</v>
      </c>
    </row>
    <row r="196" spans="1:14" x14ac:dyDescent="0.25">
      <c r="A196" s="364" t="s">
        <v>557</v>
      </c>
      <c r="B196">
        <v>206103</v>
      </c>
      <c r="C196" t="s">
        <v>1026</v>
      </c>
      <c r="D196" s="363">
        <v>1332</v>
      </c>
      <c r="E196" s="360"/>
      <c r="F196" s="363">
        <v>504</v>
      </c>
      <c r="G196" s="363"/>
      <c r="H196" s="363">
        <v>1155</v>
      </c>
      <c r="I196" s="363"/>
      <c r="J196" s="363">
        <v>2991</v>
      </c>
      <c r="K196" s="361">
        <f t="shared" si="6"/>
        <v>0</v>
      </c>
      <c r="N196" t="s">
        <v>1026</v>
      </c>
    </row>
    <row r="197" spans="1:14" x14ac:dyDescent="0.25">
      <c r="A197" s="364" t="s">
        <v>558</v>
      </c>
      <c r="B197">
        <v>2614882</v>
      </c>
      <c r="C197" t="s">
        <v>1027</v>
      </c>
      <c r="D197" s="363">
        <v>391.11</v>
      </c>
      <c r="E197" s="360"/>
      <c r="F197" s="363">
        <v>525.76</v>
      </c>
      <c r="G197" s="363"/>
      <c r="H197" s="363">
        <v>471.62</v>
      </c>
      <c r="I197" s="363"/>
      <c r="J197" s="363">
        <v>1388.49</v>
      </c>
      <c r="K197" s="361">
        <f t="shared" si="6"/>
        <v>0</v>
      </c>
      <c r="N197" t="s">
        <v>1027</v>
      </c>
    </row>
    <row r="198" spans="1:14" x14ac:dyDescent="0.25">
      <c r="A198" s="364" t="s">
        <v>560</v>
      </c>
      <c r="B198" t="s">
        <v>559</v>
      </c>
      <c r="C198" t="s">
        <v>1028</v>
      </c>
      <c r="D198" s="363">
        <v>2760</v>
      </c>
      <c r="E198" s="360"/>
      <c r="F198" s="363">
        <v>3881.7981322957198</v>
      </c>
      <c r="G198" s="363"/>
      <c r="H198" s="363">
        <v>1903</v>
      </c>
      <c r="I198" s="363"/>
      <c r="J198" s="363">
        <v>8544.7981322957203</v>
      </c>
      <c r="K198" s="361">
        <f t="shared" si="6"/>
        <v>0</v>
      </c>
      <c r="N198" t="s">
        <v>1028</v>
      </c>
    </row>
    <row r="199" spans="1:14" x14ac:dyDescent="0.25">
      <c r="A199" s="364" t="s">
        <v>563</v>
      </c>
      <c r="B199">
        <v>2498864</v>
      </c>
      <c r="C199" t="s">
        <v>1029</v>
      </c>
      <c r="D199" s="363">
        <v>1080</v>
      </c>
      <c r="E199" s="360"/>
      <c r="F199" s="363">
        <v>630</v>
      </c>
      <c r="G199" s="363"/>
      <c r="H199" s="363">
        <v>825</v>
      </c>
      <c r="I199" s="363"/>
      <c r="J199" s="363">
        <v>2535</v>
      </c>
      <c r="K199" s="361">
        <f t="shared" si="6"/>
        <v>0</v>
      </c>
      <c r="N199" t="s">
        <v>1029</v>
      </c>
    </row>
    <row r="200" spans="1:14" x14ac:dyDescent="0.25">
      <c r="A200" s="364" t="s">
        <v>565</v>
      </c>
      <c r="B200" t="s">
        <v>564</v>
      </c>
      <c r="C200" t="s">
        <v>1030</v>
      </c>
      <c r="D200" s="363">
        <v>2800.5836575875487</v>
      </c>
      <c r="E200" s="360"/>
      <c r="F200" s="363">
        <v>3150</v>
      </c>
      <c r="G200" s="363"/>
      <c r="H200" s="363">
        <v>2640</v>
      </c>
      <c r="I200" s="363"/>
      <c r="J200" s="363">
        <v>8590.5836575875492</v>
      </c>
      <c r="K200" s="361">
        <f t="shared" si="6"/>
        <v>0</v>
      </c>
      <c r="N200" t="s">
        <v>1030</v>
      </c>
    </row>
    <row r="201" spans="1:14" x14ac:dyDescent="0.25">
      <c r="A201" s="364" t="s">
        <v>1031</v>
      </c>
      <c r="B201" t="s">
        <v>1032</v>
      </c>
      <c r="C201" t="s">
        <v>1032</v>
      </c>
      <c r="D201" s="363">
        <v>915.12</v>
      </c>
      <c r="E201" s="360"/>
      <c r="F201" s="363">
        <v>613.79999999999995</v>
      </c>
      <c r="G201" s="363"/>
      <c r="H201" s="363">
        <v>715</v>
      </c>
      <c r="I201" s="363"/>
      <c r="J201" s="363">
        <v>2243.92</v>
      </c>
      <c r="K201" s="361">
        <f t="shared" si="6"/>
        <v>0</v>
      </c>
      <c r="N201" t="s">
        <v>1032</v>
      </c>
    </row>
    <row r="202" spans="1:14" x14ac:dyDescent="0.25">
      <c r="A202" s="364" t="s">
        <v>568</v>
      </c>
      <c r="B202" t="s">
        <v>567</v>
      </c>
      <c r="C202" t="s">
        <v>1033</v>
      </c>
      <c r="D202" s="363">
        <v>1620</v>
      </c>
      <c r="E202" s="360"/>
      <c r="F202" s="363">
        <v>1186.08</v>
      </c>
      <c r="G202" s="363"/>
      <c r="H202" s="363">
        <v>1484.91</v>
      </c>
      <c r="I202" s="363"/>
      <c r="J202" s="363">
        <v>4290.99</v>
      </c>
      <c r="K202" s="361">
        <f t="shared" si="6"/>
        <v>0</v>
      </c>
      <c r="N202" t="s">
        <v>1033</v>
      </c>
    </row>
    <row r="203" spans="1:14" x14ac:dyDescent="0.25">
      <c r="A203" s="364" t="s">
        <v>570</v>
      </c>
      <c r="B203" t="s">
        <v>569</v>
      </c>
      <c r="C203" t="s">
        <v>1034</v>
      </c>
      <c r="D203" s="363">
        <v>1987.9377431906614</v>
      </c>
      <c r="E203" s="360"/>
      <c r="F203" s="363">
        <v>1995</v>
      </c>
      <c r="G203" s="363"/>
      <c r="H203" s="363">
        <v>1980</v>
      </c>
      <c r="I203" s="363"/>
      <c r="J203" s="363">
        <v>5962.9377431906614</v>
      </c>
      <c r="K203" s="361">
        <f t="shared" si="6"/>
        <v>0</v>
      </c>
      <c r="N203" t="s">
        <v>1034</v>
      </c>
    </row>
    <row r="204" spans="1:14" x14ac:dyDescent="0.25">
      <c r="A204" s="364" t="s">
        <v>572</v>
      </c>
      <c r="B204" t="s">
        <v>571</v>
      </c>
      <c r="C204" t="s">
        <v>1035</v>
      </c>
      <c r="D204" s="363">
        <v>1302.23</v>
      </c>
      <c r="E204" s="360"/>
      <c r="F204" s="363">
        <v>389.55252918287937</v>
      </c>
      <c r="G204" s="363"/>
      <c r="H204" s="363">
        <v>977.7</v>
      </c>
      <c r="I204" s="363"/>
      <c r="J204" s="363">
        <v>2669.4825291828793</v>
      </c>
      <c r="K204" s="361">
        <f t="shared" si="6"/>
        <v>0</v>
      </c>
      <c r="N204" t="s">
        <v>1035</v>
      </c>
    </row>
    <row r="205" spans="1:14" x14ac:dyDescent="0.25">
      <c r="A205" s="364" t="s">
        <v>573</v>
      </c>
      <c r="B205">
        <v>2568273</v>
      </c>
      <c r="C205" t="s">
        <v>1036</v>
      </c>
      <c r="D205" s="363">
        <v>3043</v>
      </c>
      <c r="E205" s="360"/>
      <c r="F205" s="363">
        <v>3348.5214007782101</v>
      </c>
      <c r="G205" s="363"/>
      <c r="H205" s="363">
        <v>1617</v>
      </c>
      <c r="I205" s="363"/>
      <c r="J205" s="363">
        <v>8008.5214007782106</v>
      </c>
      <c r="K205" s="361">
        <f t="shared" si="6"/>
        <v>0</v>
      </c>
      <c r="N205" t="s">
        <v>1036</v>
      </c>
    </row>
    <row r="206" spans="1:14" x14ac:dyDescent="0.25">
      <c r="A206" s="364" t="s">
        <v>574</v>
      </c>
      <c r="B206">
        <v>509204</v>
      </c>
      <c r="C206" t="s">
        <v>1037</v>
      </c>
      <c r="D206" s="363">
        <v>67.38</v>
      </c>
      <c r="E206" s="360"/>
      <c r="F206" s="363">
        <v>0</v>
      </c>
      <c r="G206" s="363"/>
      <c r="H206" s="363">
        <v>32.880000000000003</v>
      </c>
      <c r="I206" s="363"/>
      <c r="J206" s="363">
        <v>100.25999999999999</v>
      </c>
      <c r="K206" s="361">
        <f t="shared" si="6"/>
        <v>0</v>
      </c>
      <c r="N206" t="s">
        <v>1037</v>
      </c>
    </row>
    <row r="207" spans="1:14" x14ac:dyDescent="0.25">
      <c r="A207" s="364" t="s">
        <v>576</v>
      </c>
      <c r="B207" t="s">
        <v>575</v>
      </c>
      <c r="C207" t="s">
        <v>1038</v>
      </c>
      <c r="D207" s="363">
        <v>0</v>
      </c>
      <c r="E207" s="360"/>
      <c r="F207" s="363">
        <v>0</v>
      </c>
      <c r="G207" s="363"/>
      <c r="H207" s="363">
        <v>0</v>
      </c>
      <c r="I207" s="363"/>
      <c r="J207" s="363">
        <v>0</v>
      </c>
      <c r="K207" s="361">
        <f t="shared" si="6"/>
        <v>0</v>
      </c>
      <c r="N207" t="s">
        <v>1038</v>
      </c>
    </row>
    <row r="208" spans="1:14" ht="15" thickBot="1" x14ac:dyDescent="0.4">
      <c r="A208" s="347" t="s">
        <v>604</v>
      </c>
      <c r="B208" s="348"/>
      <c r="C208" s="348"/>
      <c r="D208" s="370">
        <v>140035.10403372243</v>
      </c>
      <c r="E208" s="367">
        <v>0</v>
      </c>
      <c r="F208" s="370">
        <v>148448.50495460443</v>
      </c>
      <c r="G208" s="370">
        <v>0</v>
      </c>
      <c r="H208" s="370">
        <v>125711.6</v>
      </c>
      <c r="I208" s="370">
        <v>0</v>
      </c>
      <c r="J208" s="370">
        <v>414195.20898832683</v>
      </c>
      <c r="K208" s="368">
        <f>E208+G208+I208</f>
        <v>0</v>
      </c>
      <c r="L208" s="348"/>
      <c r="M208" s="379"/>
      <c r="N208">
        <v>0</v>
      </c>
    </row>
    <row r="209" spans="1:14" ht="15.5" thickTop="1" thickBot="1" x14ac:dyDescent="0.4">
      <c r="A209" s="347" t="s">
        <v>1039</v>
      </c>
      <c r="B209" s="348"/>
      <c r="C209" s="348"/>
      <c r="D209" s="376">
        <v>777.97280018734682</v>
      </c>
      <c r="E209" s="367">
        <v>0</v>
      </c>
      <c r="F209" s="376">
        <v>706.89764264097346</v>
      </c>
      <c r="G209" s="376">
        <v>0</v>
      </c>
      <c r="H209" s="376">
        <v>698.39777777777783</v>
      </c>
      <c r="I209" s="376">
        <v>0</v>
      </c>
      <c r="J209" s="376">
        <v>2301.0844943795937</v>
      </c>
      <c r="K209" s="368">
        <f t="shared" ref="K209:L209" si="7">(K208/12)/15</f>
        <v>0</v>
      </c>
      <c r="L209" s="348">
        <f t="shared" si="7"/>
        <v>0</v>
      </c>
      <c r="M209" s="379"/>
    </row>
    <row r="210" spans="1:14" ht="13" thickTop="1" x14ac:dyDescent="0.25">
      <c r="D210" s="383">
        <v>140035.10403372243</v>
      </c>
      <c r="F210" s="383">
        <v>148448.50495460452</v>
      </c>
      <c r="G210" s="383"/>
      <c r="H210" s="383">
        <v>125711.59999999999</v>
      </c>
      <c r="N210">
        <v>0</v>
      </c>
    </row>
    <row r="211" spans="1:14" ht="13" thickBot="1" x14ac:dyDescent="0.3">
      <c r="D211" s="384">
        <v>0</v>
      </c>
      <c r="F211" s="383">
        <v>0</v>
      </c>
      <c r="G211" s="383"/>
      <c r="H211" s="383">
        <v>0</v>
      </c>
      <c r="N211">
        <v>0</v>
      </c>
    </row>
    <row r="212" spans="1:14" ht="43.5" x14ac:dyDescent="0.35">
      <c r="F212" s="385">
        <v>127241.57567537522</v>
      </c>
      <c r="H212" s="338" t="s">
        <v>1059</v>
      </c>
      <c r="J212" s="386">
        <v>437674.5</v>
      </c>
    </row>
    <row r="213" spans="1:14" ht="44" thickBot="1" x14ac:dyDescent="0.4">
      <c r="C213" s="379"/>
      <c r="E213" s="387"/>
      <c r="F213" s="387"/>
      <c r="G213" s="387"/>
      <c r="H213" s="388" t="s">
        <v>759</v>
      </c>
      <c r="J213" s="389">
        <v>23479.291011673165</v>
      </c>
    </row>
    <row r="214" spans="1:14" ht="14.5" x14ac:dyDescent="0.35">
      <c r="C214" s="379"/>
      <c r="E214" s="387"/>
      <c r="F214" s="387"/>
      <c r="G214" s="387"/>
      <c r="H214" s="387"/>
      <c r="I214" s="387"/>
      <c r="J214" s="387"/>
    </row>
    <row r="215" spans="1:14" ht="14.5" x14ac:dyDescent="0.35">
      <c r="C215" s="379"/>
      <c r="D215" s="387"/>
      <c r="E215" s="387"/>
      <c r="F215" s="387"/>
      <c r="G215" s="387"/>
      <c r="H215" s="387"/>
      <c r="I215" s="387"/>
      <c r="J215" s="387"/>
    </row>
    <row r="216" spans="1:14" ht="14.5" x14ac:dyDescent="0.35">
      <c r="C216" s="390" t="s">
        <v>1060</v>
      </c>
      <c r="D216" s="387">
        <v>762.8694999999999</v>
      </c>
      <c r="E216" s="387"/>
      <c r="F216" s="387">
        <v>682.64723809523855</v>
      </c>
      <c r="G216" s="387"/>
      <c r="H216" s="387">
        <v>698.39777777777772</v>
      </c>
      <c r="I216" s="387"/>
      <c r="J216" s="387"/>
    </row>
    <row r="217" spans="1:14" ht="14.5" x14ac:dyDescent="0.35">
      <c r="C217" s="390" t="s">
        <v>1061</v>
      </c>
      <c r="D217" s="391">
        <v>777.97280018734682</v>
      </c>
      <c r="E217" s="391"/>
      <c r="F217" s="391">
        <v>706.8976426409738</v>
      </c>
      <c r="G217" s="391"/>
      <c r="H217" s="391"/>
      <c r="I217" s="391"/>
      <c r="J217" s="391"/>
    </row>
  </sheetData>
  <autoFilter ref="A4:N213" xr:uid="{BCAB18CF-DD97-4437-9FCF-1F59EEE79AF2}"/>
  <mergeCells count="1">
    <mergeCell ref="D3:K3"/>
  </mergeCells>
  <conditionalFormatting sqref="B182">
    <cfRule type="containsBlanks" dxfId="12" priority="1">
      <formula>LEN(TRIM(B182))=0</formula>
    </cfRule>
  </conditionalFormatting>
  <conditionalFormatting sqref="B178:C178">
    <cfRule type="containsBlanks" dxfId="11" priority="3">
      <formula>LEN(TRIM(B178))=0</formula>
    </cfRule>
  </conditionalFormatting>
  <conditionalFormatting sqref="C181:C182">
    <cfRule type="containsBlanks" dxfId="10" priority="2">
      <formula>LEN(TRIM(C181))=0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5CD8-698C-45ED-B978-1AE5DA95019C}">
  <sheetPr codeName="Sheet17" filterMode="1">
    <tabColor rgb="FF7030A0"/>
  </sheetPr>
  <dimension ref="A1:N221"/>
  <sheetViews>
    <sheetView workbookViewId="0">
      <selection activeCell="M6" sqref="M6:N6"/>
    </sheetView>
  </sheetViews>
  <sheetFormatPr defaultRowHeight="12.5" x14ac:dyDescent="0.25"/>
  <cols>
    <col min="5" max="5" width="0" hidden="1" customWidth="1"/>
    <col min="7" max="7" width="0" hidden="1" customWidth="1"/>
    <col min="9" max="9" width="0" hidden="1" customWidth="1"/>
    <col min="11" max="11" width="0" hidden="1" customWidth="1"/>
  </cols>
  <sheetData>
    <row r="1" spans="1:14" ht="18.5" x14ac:dyDescent="0.45">
      <c r="A1" s="331" t="s">
        <v>802</v>
      </c>
    </row>
    <row r="2" spans="1:14" ht="13" thickBot="1" x14ac:dyDescent="0.3"/>
    <row r="3" spans="1:14" ht="15" thickBot="1" x14ac:dyDescent="0.4">
      <c r="D3" s="748" t="s">
        <v>804</v>
      </c>
      <c r="E3" s="749"/>
      <c r="F3" s="749"/>
      <c r="G3" s="749"/>
      <c r="H3" s="749"/>
      <c r="I3" s="749"/>
      <c r="J3" s="749"/>
      <c r="K3" s="749"/>
      <c r="L3" s="364"/>
    </row>
    <row r="4" spans="1:14" ht="102" thickBot="1" x14ac:dyDescent="0.4">
      <c r="A4" s="335" t="s">
        <v>1</v>
      </c>
      <c r="B4" s="336" t="s">
        <v>598</v>
      </c>
      <c r="C4" s="337" t="s">
        <v>805</v>
      </c>
      <c r="D4" s="392" t="s">
        <v>807</v>
      </c>
      <c r="E4" s="339" t="s">
        <v>809</v>
      </c>
      <c r="F4" s="392" t="s">
        <v>811</v>
      </c>
      <c r="G4" s="392" t="s">
        <v>813</v>
      </c>
      <c r="H4" s="392" t="s">
        <v>1062</v>
      </c>
      <c r="I4" s="392" t="s">
        <v>815</v>
      </c>
      <c r="J4" s="392" t="s">
        <v>817</v>
      </c>
      <c r="K4" s="339" t="s">
        <v>819</v>
      </c>
      <c r="L4" s="377"/>
      <c r="M4" s="378" t="s">
        <v>597</v>
      </c>
      <c r="N4" s="378" t="s">
        <v>755</v>
      </c>
    </row>
    <row r="5" spans="1:14" ht="15" thickBot="1" x14ac:dyDescent="0.4">
      <c r="A5" s="347" t="s">
        <v>828</v>
      </c>
      <c r="B5" s="348"/>
      <c r="C5" s="348"/>
      <c r="D5" s="354">
        <v>4966.95</v>
      </c>
      <c r="E5" s="351"/>
      <c r="F5" s="354">
        <v>12450</v>
      </c>
      <c r="G5" s="354"/>
      <c r="H5" s="354">
        <v>10671.428571428571</v>
      </c>
      <c r="I5" s="354"/>
      <c r="J5" s="354">
        <v>28088.37857142857</v>
      </c>
      <c r="K5" s="352"/>
      <c r="L5" s="355"/>
      <c r="M5" s="379"/>
      <c r="N5" s="379"/>
    </row>
    <row r="6" spans="1:14" ht="13" hidden="1" thickTop="1" x14ac:dyDescent="0.25">
      <c r="A6" s="356" t="s">
        <v>324</v>
      </c>
      <c r="B6">
        <v>1014</v>
      </c>
      <c r="C6" s="357" t="s">
        <v>829</v>
      </c>
      <c r="D6" s="363">
        <v>636</v>
      </c>
      <c r="E6" s="360"/>
      <c r="F6" s="363">
        <v>1792</v>
      </c>
      <c r="G6" s="363"/>
      <c r="H6" s="363">
        <v>1536</v>
      </c>
      <c r="I6" s="363"/>
      <c r="J6" s="363">
        <v>3964</v>
      </c>
      <c r="K6" s="361"/>
      <c r="M6" t="s">
        <v>607</v>
      </c>
      <c r="N6" t="s">
        <v>829</v>
      </c>
    </row>
    <row r="7" spans="1:14" ht="13" hidden="1" thickTop="1" x14ac:dyDescent="0.25">
      <c r="A7" s="364" t="s">
        <v>325</v>
      </c>
      <c r="B7">
        <v>1006</v>
      </c>
      <c r="C7" t="s">
        <v>830</v>
      </c>
      <c r="D7" s="363">
        <v>1810.95</v>
      </c>
      <c r="E7" s="360"/>
      <c r="F7" s="363">
        <v>2980</v>
      </c>
      <c r="G7" s="363"/>
      <c r="H7" s="363">
        <v>2554.2857142857142</v>
      </c>
      <c r="I7" s="363"/>
      <c r="J7" s="363">
        <v>7345.2357142857145</v>
      </c>
      <c r="K7" s="361"/>
      <c r="M7" t="s">
        <v>612</v>
      </c>
      <c r="N7" t="s">
        <v>830</v>
      </c>
    </row>
    <row r="8" spans="1:14" ht="13" hidden="1" thickTop="1" x14ac:dyDescent="0.25">
      <c r="A8" s="364" t="s">
        <v>326</v>
      </c>
      <c r="B8">
        <v>1008</v>
      </c>
      <c r="C8" t="s">
        <v>831</v>
      </c>
      <c r="D8" s="363">
        <v>0</v>
      </c>
      <c r="E8" s="360"/>
      <c r="F8" s="363">
        <v>420</v>
      </c>
      <c r="G8" s="363"/>
      <c r="H8" s="363">
        <v>360</v>
      </c>
      <c r="I8" s="363"/>
      <c r="J8" s="363">
        <v>780</v>
      </c>
      <c r="K8" s="361"/>
      <c r="M8" t="s">
        <v>613</v>
      </c>
      <c r="N8" t="s">
        <v>831</v>
      </c>
    </row>
    <row r="9" spans="1:14" ht="13" hidden="1" thickTop="1" x14ac:dyDescent="0.25">
      <c r="A9" s="364" t="s">
        <v>327</v>
      </c>
      <c r="B9">
        <v>1005</v>
      </c>
      <c r="C9" t="s">
        <v>832</v>
      </c>
      <c r="D9" s="363">
        <v>1440</v>
      </c>
      <c r="E9" s="360"/>
      <c r="F9" s="363">
        <v>1680</v>
      </c>
      <c r="G9" s="363"/>
      <c r="H9" s="363">
        <v>1440</v>
      </c>
      <c r="I9" s="363"/>
      <c r="J9" s="363">
        <v>4560</v>
      </c>
      <c r="K9" s="361"/>
      <c r="M9" t="s">
        <v>614</v>
      </c>
      <c r="N9" t="s">
        <v>832</v>
      </c>
    </row>
    <row r="10" spans="1:14" ht="13" hidden="1" thickTop="1" x14ac:dyDescent="0.25">
      <c r="A10" s="364" t="s">
        <v>328</v>
      </c>
      <c r="B10">
        <v>1010</v>
      </c>
      <c r="C10" t="s">
        <v>833</v>
      </c>
      <c r="D10" s="363">
        <v>1080</v>
      </c>
      <c r="E10" s="360"/>
      <c r="F10" s="363">
        <v>1095</v>
      </c>
      <c r="G10" s="363"/>
      <c r="H10" s="363">
        <v>938.57142857142844</v>
      </c>
      <c r="I10" s="363"/>
      <c r="J10" s="363">
        <v>3113.5714285714284</v>
      </c>
      <c r="K10" s="361"/>
      <c r="M10" t="s">
        <v>626</v>
      </c>
      <c r="N10" t="s">
        <v>833</v>
      </c>
    </row>
    <row r="11" spans="1:14" ht="13" hidden="1" thickTop="1" x14ac:dyDescent="0.25">
      <c r="A11" s="364" t="s">
        <v>329</v>
      </c>
      <c r="B11">
        <v>1009</v>
      </c>
      <c r="C11" t="s">
        <v>834</v>
      </c>
      <c r="D11" s="363">
        <v>0</v>
      </c>
      <c r="E11" s="360"/>
      <c r="F11" s="363">
        <v>840</v>
      </c>
      <c r="G11" s="363"/>
      <c r="H11" s="363">
        <v>720</v>
      </c>
      <c r="I11" s="363"/>
      <c r="J11" s="363">
        <v>1560</v>
      </c>
      <c r="K11" s="361"/>
      <c r="M11" t="s">
        <v>627</v>
      </c>
      <c r="N11" t="s">
        <v>834</v>
      </c>
    </row>
    <row r="12" spans="1:14" ht="13" hidden="1" thickTop="1" x14ac:dyDescent="0.25">
      <c r="A12" s="364" t="s">
        <v>330</v>
      </c>
      <c r="B12">
        <v>1015</v>
      </c>
      <c r="C12" t="s">
        <v>835</v>
      </c>
      <c r="D12" s="363">
        <v>0</v>
      </c>
      <c r="E12" s="360"/>
      <c r="F12" s="363">
        <v>3643</v>
      </c>
      <c r="G12" s="363"/>
      <c r="H12" s="363">
        <v>3122.5714285714284</v>
      </c>
      <c r="I12" s="363"/>
      <c r="J12" s="363">
        <v>6765.5714285714284</v>
      </c>
      <c r="K12" s="361"/>
      <c r="M12" t="s">
        <v>628</v>
      </c>
      <c r="N12" t="s">
        <v>835</v>
      </c>
    </row>
    <row r="13" spans="1:14" ht="15.5" thickTop="1" thickBot="1" x14ac:dyDescent="0.4">
      <c r="A13" s="347" t="s">
        <v>596</v>
      </c>
      <c r="B13" s="348"/>
      <c r="C13" s="348"/>
      <c r="D13" s="370">
        <v>180</v>
      </c>
      <c r="E13" s="367"/>
      <c r="F13" s="370">
        <v>315</v>
      </c>
      <c r="G13" s="370"/>
      <c r="H13" s="370">
        <v>270</v>
      </c>
      <c r="I13" s="370"/>
      <c r="J13" s="370">
        <v>765</v>
      </c>
      <c r="K13" s="368"/>
      <c r="L13" s="348"/>
      <c r="M13" s="379"/>
      <c r="N13">
        <v>0</v>
      </c>
    </row>
    <row r="14" spans="1:14" ht="13" hidden="1" thickTop="1" x14ac:dyDescent="0.25">
      <c r="A14" s="364" t="s">
        <v>71</v>
      </c>
      <c r="B14">
        <v>2443</v>
      </c>
      <c r="C14" t="s">
        <v>836</v>
      </c>
      <c r="D14" s="363">
        <v>0</v>
      </c>
      <c r="E14" s="360"/>
      <c r="F14" s="363">
        <v>105</v>
      </c>
      <c r="G14" s="363"/>
      <c r="H14" s="363">
        <v>90</v>
      </c>
      <c r="I14" s="363"/>
      <c r="J14" s="363">
        <v>195</v>
      </c>
      <c r="K14" s="361"/>
      <c r="M14" t="s">
        <v>605</v>
      </c>
      <c r="N14" t="s">
        <v>836</v>
      </c>
    </row>
    <row r="15" spans="1:14" ht="13" hidden="1" thickTop="1" x14ac:dyDescent="0.25">
      <c r="A15" s="364" t="s">
        <v>65</v>
      </c>
      <c r="B15">
        <v>2405</v>
      </c>
      <c r="C15" t="s">
        <v>837</v>
      </c>
      <c r="D15" s="363">
        <v>0</v>
      </c>
      <c r="E15" s="360"/>
      <c r="F15" s="363">
        <v>0</v>
      </c>
      <c r="G15" s="363"/>
      <c r="H15" s="363">
        <v>0</v>
      </c>
      <c r="I15" s="363"/>
      <c r="J15" s="363">
        <v>0</v>
      </c>
      <c r="K15" s="361"/>
      <c r="M15" t="s">
        <v>608</v>
      </c>
      <c r="N15" t="s">
        <v>837</v>
      </c>
    </row>
    <row r="16" spans="1:14" ht="13" hidden="1" thickTop="1" x14ac:dyDescent="0.25">
      <c r="A16" s="364" t="s">
        <v>609</v>
      </c>
      <c r="B16">
        <v>4177</v>
      </c>
      <c r="C16" t="s">
        <v>838</v>
      </c>
      <c r="D16" s="363">
        <v>0</v>
      </c>
      <c r="E16" s="360"/>
      <c r="F16" s="363">
        <v>0</v>
      </c>
      <c r="G16" s="363"/>
      <c r="H16" s="363">
        <v>0</v>
      </c>
      <c r="I16" s="363"/>
      <c r="J16" s="363">
        <v>0</v>
      </c>
      <c r="K16" s="361"/>
      <c r="M16" t="s">
        <v>610</v>
      </c>
      <c r="N16" t="s">
        <v>838</v>
      </c>
    </row>
    <row r="17" spans="1:14" ht="13" hidden="1" thickTop="1" x14ac:dyDescent="0.25">
      <c r="A17" s="364" t="s">
        <v>73</v>
      </c>
      <c r="B17">
        <v>2449</v>
      </c>
      <c r="C17" t="s">
        <v>839</v>
      </c>
      <c r="D17" s="363">
        <v>0</v>
      </c>
      <c r="E17" s="360"/>
      <c r="F17" s="363">
        <v>0</v>
      </c>
      <c r="G17" s="363"/>
      <c r="H17" s="363">
        <v>0</v>
      </c>
      <c r="I17" s="363"/>
      <c r="J17" s="363">
        <v>0</v>
      </c>
      <c r="K17" s="361"/>
      <c r="M17" t="s">
        <v>611</v>
      </c>
      <c r="N17" t="s">
        <v>839</v>
      </c>
    </row>
    <row r="18" spans="1:14" ht="13" hidden="1" thickTop="1" x14ac:dyDescent="0.25">
      <c r="A18" s="364" t="s">
        <v>74</v>
      </c>
      <c r="B18">
        <v>2452</v>
      </c>
      <c r="C18" t="s">
        <v>840</v>
      </c>
      <c r="D18" s="363">
        <v>0</v>
      </c>
      <c r="E18" s="360"/>
      <c r="F18" s="363">
        <v>210</v>
      </c>
      <c r="G18" s="363"/>
      <c r="H18" s="363">
        <v>180</v>
      </c>
      <c r="I18" s="363"/>
      <c r="J18" s="363">
        <v>390</v>
      </c>
      <c r="K18" s="361"/>
      <c r="M18" t="s">
        <v>615</v>
      </c>
      <c r="N18" t="s">
        <v>840</v>
      </c>
    </row>
    <row r="19" spans="1:14" ht="13" hidden="1" thickTop="1" x14ac:dyDescent="0.25">
      <c r="A19" s="364" t="s">
        <v>616</v>
      </c>
      <c r="B19">
        <v>2473</v>
      </c>
      <c r="C19" t="s">
        <v>841</v>
      </c>
      <c r="D19" s="363">
        <v>0</v>
      </c>
      <c r="E19" s="360"/>
      <c r="F19" s="363">
        <v>0</v>
      </c>
      <c r="G19" s="363"/>
      <c r="H19" s="363">
        <v>0</v>
      </c>
      <c r="I19" s="363"/>
      <c r="J19" s="363">
        <v>0</v>
      </c>
      <c r="K19" s="361"/>
      <c r="M19" t="s">
        <v>617</v>
      </c>
      <c r="N19" t="s">
        <v>841</v>
      </c>
    </row>
    <row r="20" spans="1:14" ht="13" hidden="1" thickTop="1" x14ac:dyDescent="0.25">
      <c r="A20" s="364" t="s">
        <v>63</v>
      </c>
      <c r="B20">
        <v>2003</v>
      </c>
      <c r="C20" t="s">
        <v>842</v>
      </c>
      <c r="D20" s="363">
        <v>0</v>
      </c>
      <c r="E20" s="360"/>
      <c r="F20" s="363">
        <v>0</v>
      </c>
      <c r="G20" s="363"/>
      <c r="H20" s="363">
        <v>0</v>
      </c>
      <c r="I20" s="363"/>
      <c r="J20" s="363">
        <v>0</v>
      </c>
      <c r="K20" s="361"/>
      <c r="M20" t="s">
        <v>618</v>
      </c>
      <c r="N20" t="s">
        <v>842</v>
      </c>
    </row>
    <row r="21" spans="1:14" ht="13" hidden="1" thickTop="1" x14ac:dyDescent="0.25">
      <c r="A21" s="364" t="s">
        <v>78</v>
      </c>
      <c r="B21">
        <v>2462</v>
      </c>
      <c r="C21" t="s">
        <v>843</v>
      </c>
      <c r="D21" s="363">
        <v>0</v>
      </c>
      <c r="E21" s="360"/>
      <c r="F21" s="363">
        <v>0</v>
      </c>
      <c r="G21" s="363"/>
      <c r="H21" s="363">
        <v>0</v>
      </c>
      <c r="I21" s="363"/>
      <c r="J21" s="363">
        <v>0</v>
      </c>
      <c r="K21" s="361"/>
      <c r="M21" t="s">
        <v>619</v>
      </c>
      <c r="N21" t="s">
        <v>843</v>
      </c>
    </row>
    <row r="22" spans="1:14" ht="13" hidden="1" thickTop="1" x14ac:dyDescent="0.25">
      <c r="A22" s="364" t="s">
        <v>81</v>
      </c>
      <c r="B22">
        <v>2505</v>
      </c>
      <c r="C22" t="s">
        <v>844</v>
      </c>
      <c r="D22" s="363">
        <v>0</v>
      </c>
      <c r="E22" s="360"/>
      <c r="F22" s="363">
        <v>0</v>
      </c>
      <c r="G22" s="363"/>
      <c r="H22" s="363">
        <v>0</v>
      </c>
      <c r="I22" s="363"/>
      <c r="J22" s="363">
        <v>0</v>
      </c>
      <c r="K22" s="361"/>
      <c r="M22" t="s">
        <v>620</v>
      </c>
      <c r="N22" t="s">
        <v>844</v>
      </c>
    </row>
    <row r="23" spans="1:14" ht="13" hidden="1" thickTop="1" x14ac:dyDescent="0.25">
      <c r="A23" s="364" t="s">
        <v>62</v>
      </c>
      <c r="B23">
        <v>2001</v>
      </c>
      <c r="C23" t="s">
        <v>845</v>
      </c>
      <c r="D23" s="363">
        <v>180</v>
      </c>
      <c r="E23" s="360"/>
      <c r="F23" s="363">
        <v>0</v>
      </c>
      <c r="G23" s="363"/>
      <c r="H23" s="363">
        <v>0</v>
      </c>
      <c r="I23" s="363"/>
      <c r="J23" s="363">
        <v>180</v>
      </c>
      <c r="K23" s="361"/>
      <c r="M23" t="s">
        <v>621</v>
      </c>
      <c r="N23" t="s">
        <v>845</v>
      </c>
    </row>
    <row r="24" spans="1:14" ht="13" hidden="1" thickTop="1" x14ac:dyDescent="0.25">
      <c r="A24" s="364" t="s">
        <v>68</v>
      </c>
      <c r="B24">
        <v>2429</v>
      </c>
      <c r="C24" t="s">
        <v>846</v>
      </c>
      <c r="D24" s="363">
        <v>0</v>
      </c>
      <c r="E24" s="360"/>
      <c r="F24" s="363">
        <v>0</v>
      </c>
      <c r="G24" s="363"/>
      <c r="H24" s="363">
        <v>0</v>
      </c>
      <c r="I24" s="363"/>
      <c r="J24" s="363">
        <v>0</v>
      </c>
      <c r="K24" s="361"/>
      <c r="M24" t="s">
        <v>622</v>
      </c>
      <c r="N24" t="s">
        <v>846</v>
      </c>
    </row>
    <row r="25" spans="1:14" ht="13" hidden="1" thickTop="1" x14ac:dyDescent="0.25">
      <c r="A25" s="364" t="s">
        <v>72</v>
      </c>
      <c r="B25">
        <v>2444</v>
      </c>
      <c r="C25" t="s">
        <v>847</v>
      </c>
      <c r="D25" s="363">
        <v>0</v>
      </c>
      <c r="E25" s="360"/>
      <c r="F25" s="363">
        <v>0</v>
      </c>
      <c r="G25" s="363"/>
      <c r="H25" s="363">
        <v>0</v>
      </c>
      <c r="I25" s="363"/>
      <c r="J25" s="363">
        <v>0</v>
      </c>
      <c r="K25" s="361"/>
      <c r="M25" t="s">
        <v>623</v>
      </c>
      <c r="N25" t="s">
        <v>847</v>
      </c>
    </row>
    <row r="26" spans="1:14" ht="13" hidden="1" thickTop="1" x14ac:dyDescent="0.25">
      <c r="A26" s="364" t="s">
        <v>624</v>
      </c>
      <c r="B26">
        <v>3526</v>
      </c>
      <c r="C26" t="s">
        <v>848</v>
      </c>
      <c r="D26" s="363">
        <v>0</v>
      </c>
      <c r="E26" s="360"/>
      <c r="F26" s="363">
        <v>0</v>
      </c>
      <c r="G26" s="363"/>
      <c r="H26" s="363">
        <v>0</v>
      </c>
      <c r="I26" s="363"/>
      <c r="J26" s="363">
        <v>0</v>
      </c>
      <c r="K26" s="361"/>
      <c r="M26" t="s">
        <v>625</v>
      </c>
      <c r="N26" t="s">
        <v>848</v>
      </c>
    </row>
    <row r="27" spans="1:14" ht="15.5" thickTop="1" thickBot="1" x14ac:dyDescent="0.4">
      <c r="A27" s="347" t="s">
        <v>263</v>
      </c>
      <c r="B27" s="348"/>
      <c r="C27" s="348"/>
      <c r="D27" s="370">
        <v>315</v>
      </c>
      <c r="E27" s="367"/>
      <c r="F27" s="370">
        <v>1500</v>
      </c>
      <c r="G27" s="370"/>
      <c r="H27" s="370">
        <v>1285.7142857142858</v>
      </c>
      <c r="I27" s="370"/>
      <c r="J27" s="370">
        <v>3100.7142857142858</v>
      </c>
      <c r="K27" s="368"/>
      <c r="L27" s="348"/>
      <c r="M27" s="379"/>
      <c r="N27">
        <v>0</v>
      </c>
    </row>
    <row r="28" spans="1:14" ht="13" hidden="1" thickTop="1" x14ac:dyDescent="0.25">
      <c r="A28" s="364" t="s">
        <v>124</v>
      </c>
      <c r="B28">
        <v>2629</v>
      </c>
      <c r="C28" t="s">
        <v>849</v>
      </c>
      <c r="D28" s="363">
        <v>0</v>
      </c>
      <c r="E28" s="360"/>
      <c r="F28" s="363">
        <v>0</v>
      </c>
      <c r="G28" s="363"/>
      <c r="H28" s="363">
        <v>0</v>
      </c>
      <c r="I28" s="363"/>
      <c r="J28" s="363">
        <v>0</v>
      </c>
      <c r="K28" s="361"/>
      <c r="N28" t="s">
        <v>849</v>
      </c>
    </row>
    <row r="29" spans="1:14" ht="13" hidden="1" thickTop="1" x14ac:dyDescent="0.25">
      <c r="A29" s="364" t="s">
        <v>630</v>
      </c>
      <c r="B29">
        <v>2509</v>
      </c>
      <c r="C29" t="s">
        <v>850</v>
      </c>
      <c r="D29" s="363">
        <v>0</v>
      </c>
      <c r="E29" s="360"/>
      <c r="F29" s="363">
        <v>0</v>
      </c>
      <c r="G29" s="363"/>
      <c r="H29" s="363">
        <v>0</v>
      </c>
      <c r="I29" s="363"/>
      <c r="J29" s="363">
        <v>0</v>
      </c>
      <c r="K29" s="361"/>
      <c r="N29" t="s">
        <v>850</v>
      </c>
    </row>
    <row r="30" spans="1:14" ht="13" hidden="1" thickTop="1" x14ac:dyDescent="0.25">
      <c r="A30" s="364" t="s">
        <v>631</v>
      </c>
      <c r="B30">
        <v>2021</v>
      </c>
      <c r="C30" t="s">
        <v>851</v>
      </c>
      <c r="D30" s="363">
        <v>0</v>
      </c>
      <c r="E30" s="360"/>
      <c r="F30" s="363">
        <v>0</v>
      </c>
      <c r="G30" s="363"/>
      <c r="H30" s="363">
        <v>0</v>
      </c>
      <c r="I30" s="363"/>
      <c r="J30" s="363">
        <v>0</v>
      </c>
      <c r="K30" s="361"/>
      <c r="N30" t="s">
        <v>851</v>
      </c>
    </row>
    <row r="31" spans="1:14" ht="13" hidden="1" thickTop="1" x14ac:dyDescent="0.25">
      <c r="A31" s="364" t="s">
        <v>117</v>
      </c>
      <c r="B31">
        <v>2464</v>
      </c>
      <c r="C31" t="s">
        <v>852</v>
      </c>
      <c r="D31" s="363">
        <v>0</v>
      </c>
      <c r="E31" s="360"/>
      <c r="F31" s="363">
        <v>0</v>
      </c>
      <c r="G31" s="363"/>
      <c r="H31" s="363">
        <v>0</v>
      </c>
      <c r="I31" s="363"/>
      <c r="J31" s="363">
        <v>0</v>
      </c>
      <c r="K31" s="361"/>
      <c r="N31" t="s">
        <v>852</v>
      </c>
    </row>
    <row r="32" spans="1:14" ht="13" hidden="1" thickTop="1" x14ac:dyDescent="0.25">
      <c r="A32" s="364" t="s">
        <v>89</v>
      </c>
      <c r="B32">
        <v>2004</v>
      </c>
      <c r="C32" t="s">
        <v>853</v>
      </c>
      <c r="D32" s="363">
        <v>0</v>
      </c>
      <c r="E32" s="360"/>
      <c r="F32" s="363">
        <v>0</v>
      </c>
      <c r="G32" s="363"/>
      <c r="H32" s="363">
        <v>0</v>
      </c>
      <c r="I32" s="363"/>
      <c r="J32" s="363">
        <v>0</v>
      </c>
      <c r="K32" s="361"/>
      <c r="N32" t="s">
        <v>853</v>
      </c>
    </row>
    <row r="33" spans="1:14" ht="13" hidden="1" thickTop="1" x14ac:dyDescent="0.25">
      <c r="A33" s="364" t="s">
        <v>632</v>
      </c>
      <c r="B33">
        <v>2432</v>
      </c>
      <c r="C33" t="s">
        <v>854</v>
      </c>
      <c r="D33" s="363">
        <v>0</v>
      </c>
      <c r="E33" s="360"/>
      <c r="F33" s="363">
        <v>0</v>
      </c>
      <c r="G33" s="363"/>
      <c r="H33" s="363">
        <v>0</v>
      </c>
      <c r="I33" s="363"/>
      <c r="J33" s="363">
        <v>0</v>
      </c>
      <c r="K33" s="361"/>
      <c r="N33" t="s">
        <v>854</v>
      </c>
    </row>
    <row r="34" spans="1:14" ht="13" hidden="1" thickTop="1" x14ac:dyDescent="0.25">
      <c r="A34" s="364" t="s">
        <v>101</v>
      </c>
      <c r="B34">
        <v>2018</v>
      </c>
      <c r="C34" t="s">
        <v>855</v>
      </c>
      <c r="D34" s="363">
        <v>0</v>
      </c>
      <c r="E34" s="360"/>
      <c r="F34" s="363">
        <v>210</v>
      </c>
      <c r="G34" s="363"/>
      <c r="H34" s="363">
        <v>180</v>
      </c>
      <c r="I34" s="363"/>
      <c r="J34" s="363">
        <v>390</v>
      </c>
      <c r="K34" s="361"/>
      <c r="N34" t="s">
        <v>855</v>
      </c>
    </row>
    <row r="35" spans="1:14" ht="13" hidden="1" thickTop="1" x14ac:dyDescent="0.25">
      <c r="A35" s="364" t="s">
        <v>122</v>
      </c>
      <c r="B35">
        <v>2512</v>
      </c>
      <c r="C35" t="s">
        <v>856</v>
      </c>
      <c r="D35" s="363">
        <v>0</v>
      </c>
      <c r="E35" s="360"/>
      <c r="F35" s="363">
        <v>0</v>
      </c>
      <c r="G35" s="363"/>
      <c r="H35" s="363">
        <v>0</v>
      </c>
      <c r="I35" s="363"/>
      <c r="J35" s="363">
        <v>0</v>
      </c>
      <c r="K35" s="361"/>
      <c r="N35" t="s">
        <v>856</v>
      </c>
    </row>
    <row r="36" spans="1:14" ht="13" hidden="1" thickTop="1" x14ac:dyDescent="0.25">
      <c r="A36" s="364" t="s">
        <v>633</v>
      </c>
      <c r="B36">
        <v>2011</v>
      </c>
      <c r="C36" t="s">
        <v>857</v>
      </c>
      <c r="D36" s="363">
        <v>0</v>
      </c>
      <c r="E36" s="360"/>
      <c r="F36" s="363">
        <v>0</v>
      </c>
      <c r="G36" s="363"/>
      <c r="H36" s="363">
        <v>0</v>
      </c>
      <c r="I36" s="363"/>
      <c r="J36" s="363">
        <v>0</v>
      </c>
      <c r="K36" s="361"/>
      <c r="N36" t="s">
        <v>857</v>
      </c>
    </row>
    <row r="37" spans="1:14" ht="13" hidden="1" thickTop="1" x14ac:dyDescent="0.25">
      <c r="A37" s="364" t="s">
        <v>136</v>
      </c>
      <c r="B37">
        <v>5201</v>
      </c>
      <c r="C37" t="s">
        <v>858</v>
      </c>
      <c r="D37" s="363">
        <v>180</v>
      </c>
      <c r="E37" s="360"/>
      <c r="F37" s="363">
        <v>150</v>
      </c>
      <c r="G37" s="363"/>
      <c r="H37" s="363">
        <v>128.57142857142856</v>
      </c>
      <c r="I37" s="363"/>
      <c r="J37" s="363">
        <v>458.57142857142856</v>
      </c>
      <c r="K37" s="361"/>
      <c r="N37" t="s">
        <v>858</v>
      </c>
    </row>
    <row r="38" spans="1:14" ht="13" hidden="1" thickTop="1" x14ac:dyDescent="0.25">
      <c r="A38" s="364" t="s">
        <v>634</v>
      </c>
      <c r="B38">
        <v>2456</v>
      </c>
      <c r="C38" t="s">
        <v>859</v>
      </c>
      <c r="D38" s="363">
        <v>0</v>
      </c>
      <c r="E38" s="360"/>
      <c r="F38" s="363">
        <v>315</v>
      </c>
      <c r="G38" s="363"/>
      <c r="H38" s="363">
        <v>270</v>
      </c>
      <c r="I38" s="363"/>
      <c r="J38" s="363">
        <v>585</v>
      </c>
      <c r="K38" s="361"/>
      <c r="N38" t="s">
        <v>859</v>
      </c>
    </row>
    <row r="39" spans="1:14" ht="13" hidden="1" thickTop="1" x14ac:dyDescent="0.25">
      <c r="A39" s="364" t="s">
        <v>110</v>
      </c>
      <c r="B39">
        <v>2027</v>
      </c>
      <c r="C39" t="s">
        <v>756</v>
      </c>
      <c r="D39" s="363">
        <v>0</v>
      </c>
      <c r="E39" s="360"/>
      <c r="F39" s="363">
        <v>0</v>
      </c>
      <c r="G39" s="363"/>
      <c r="H39" s="363">
        <v>0</v>
      </c>
      <c r="I39" s="363"/>
      <c r="J39" s="363">
        <v>0</v>
      </c>
      <c r="K39" s="361"/>
      <c r="N39" t="s">
        <v>756</v>
      </c>
    </row>
    <row r="40" spans="1:14" ht="13" hidden="1" thickTop="1" x14ac:dyDescent="0.25">
      <c r="A40" s="364" t="s">
        <v>119</v>
      </c>
      <c r="B40">
        <v>2467</v>
      </c>
      <c r="C40" t="s">
        <v>861</v>
      </c>
      <c r="D40" s="363">
        <v>0</v>
      </c>
      <c r="E40" s="360"/>
      <c r="F40" s="363">
        <v>0</v>
      </c>
      <c r="G40" s="363"/>
      <c r="H40" s="363">
        <v>0</v>
      </c>
      <c r="I40" s="363"/>
      <c r="J40" s="363">
        <v>0</v>
      </c>
      <c r="K40" s="361"/>
      <c r="N40" t="s">
        <v>861</v>
      </c>
    </row>
    <row r="41" spans="1:14" ht="13" hidden="1" thickTop="1" x14ac:dyDescent="0.25">
      <c r="A41" s="364" t="s">
        <v>113</v>
      </c>
      <c r="B41">
        <v>2451</v>
      </c>
      <c r="C41" t="s">
        <v>862</v>
      </c>
      <c r="D41" s="363">
        <v>0</v>
      </c>
      <c r="E41" s="360"/>
      <c r="F41" s="363">
        <v>0</v>
      </c>
      <c r="G41" s="363"/>
      <c r="H41" s="363">
        <v>0</v>
      </c>
      <c r="I41" s="363"/>
      <c r="J41" s="363">
        <v>0</v>
      </c>
      <c r="K41" s="361"/>
      <c r="N41" t="s">
        <v>862</v>
      </c>
    </row>
    <row r="42" spans="1:14" ht="13" hidden="1" thickTop="1" x14ac:dyDescent="0.25">
      <c r="A42" s="364" t="s">
        <v>635</v>
      </c>
      <c r="B42">
        <v>2023</v>
      </c>
      <c r="C42" t="s">
        <v>863</v>
      </c>
      <c r="D42" s="363">
        <v>0</v>
      </c>
      <c r="E42" s="360"/>
      <c r="F42" s="363">
        <v>0</v>
      </c>
      <c r="G42" s="363"/>
      <c r="H42" s="363">
        <v>0</v>
      </c>
      <c r="I42" s="363"/>
      <c r="J42" s="363">
        <v>0</v>
      </c>
      <c r="K42" s="361"/>
      <c r="N42" t="s">
        <v>863</v>
      </c>
    </row>
    <row r="43" spans="1:14" ht="13" hidden="1" thickTop="1" x14ac:dyDescent="0.25">
      <c r="A43" s="364" t="s">
        <v>636</v>
      </c>
      <c r="B43">
        <v>2016</v>
      </c>
      <c r="C43" t="s">
        <v>864</v>
      </c>
      <c r="D43" s="363">
        <v>0</v>
      </c>
      <c r="E43" s="360"/>
      <c r="F43" s="363">
        <v>0</v>
      </c>
      <c r="G43" s="363"/>
      <c r="H43" s="363">
        <v>0</v>
      </c>
      <c r="I43" s="363"/>
      <c r="J43" s="363">
        <v>0</v>
      </c>
      <c r="K43" s="361"/>
      <c r="N43" t="s">
        <v>864</v>
      </c>
    </row>
    <row r="44" spans="1:14" ht="13" hidden="1" thickTop="1" x14ac:dyDescent="0.25">
      <c r="A44" s="364" t="s">
        <v>637</v>
      </c>
      <c r="B44">
        <v>2013</v>
      </c>
      <c r="C44" t="s">
        <v>865</v>
      </c>
      <c r="D44" s="363">
        <v>0</v>
      </c>
      <c r="E44" s="360"/>
      <c r="F44" s="363">
        <v>0</v>
      </c>
      <c r="G44" s="363"/>
      <c r="H44" s="363">
        <v>0</v>
      </c>
      <c r="I44" s="363"/>
      <c r="J44" s="363">
        <v>0</v>
      </c>
      <c r="K44" s="361"/>
      <c r="N44" t="s">
        <v>865</v>
      </c>
    </row>
    <row r="45" spans="1:14" ht="13" hidden="1" thickTop="1" x14ac:dyDescent="0.25">
      <c r="A45" s="364" t="s">
        <v>638</v>
      </c>
      <c r="B45">
        <v>2010</v>
      </c>
      <c r="C45" t="s">
        <v>866</v>
      </c>
      <c r="D45" s="363">
        <v>0</v>
      </c>
      <c r="E45" s="360"/>
      <c r="F45" s="363">
        <v>0</v>
      </c>
      <c r="G45" s="363"/>
      <c r="H45" s="363">
        <v>0</v>
      </c>
      <c r="I45" s="363"/>
      <c r="J45" s="363">
        <v>0</v>
      </c>
      <c r="K45" s="361"/>
      <c r="N45" t="s">
        <v>866</v>
      </c>
    </row>
    <row r="46" spans="1:14" ht="13" hidden="1" thickTop="1" x14ac:dyDescent="0.25">
      <c r="A46" s="364" t="s">
        <v>88</v>
      </c>
      <c r="B46">
        <v>2002</v>
      </c>
      <c r="C46" t="s">
        <v>867</v>
      </c>
      <c r="D46" s="363">
        <v>0</v>
      </c>
      <c r="E46" s="360"/>
      <c r="F46" s="363">
        <v>0</v>
      </c>
      <c r="G46" s="363"/>
      <c r="H46" s="363">
        <v>0</v>
      </c>
      <c r="I46" s="363"/>
      <c r="J46" s="363">
        <v>0</v>
      </c>
      <c r="K46" s="361"/>
      <c r="N46" t="s">
        <v>867</v>
      </c>
    </row>
    <row r="47" spans="1:14" ht="13" hidden="1" thickTop="1" x14ac:dyDescent="0.25">
      <c r="A47" s="364" t="s">
        <v>639</v>
      </c>
      <c r="B47">
        <v>2006</v>
      </c>
      <c r="C47" t="s">
        <v>868</v>
      </c>
      <c r="D47" s="363">
        <v>0</v>
      </c>
      <c r="E47" s="360"/>
      <c r="F47" s="363">
        <v>0</v>
      </c>
      <c r="G47" s="363"/>
      <c r="H47" s="363">
        <v>0</v>
      </c>
      <c r="I47" s="363"/>
      <c r="J47" s="363">
        <v>0</v>
      </c>
      <c r="K47" s="361"/>
      <c r="N47" t="s">
        <v>868</v>
      </c>
    </row>
    <row r="48" spans="1:14" ht="13" hidden="1" thickTop="1" x14ac:dyDescent="0.25">
      <c r="A48" s="364" t="s">
        <v>107</v>
      </c>
      <c r="B48">
        <v>2024</v>
      </c>
      <c r="C48" t="s">
        <v>869</v>
      </c>
      <c r="D48" s="363">
        <v>0</v>
      </c>
      <c r="E48" s="360"/>
      <c r="F48" s="363">
        <v>0</v>
      </c>
      <c r="G48" s="363"/>
      <c r="H48" s="363">
        <v>0</v>
      </c>
      <c r="I48" s="363"/>
      <c r="J48" s="363">
        <v>0</v>
      </c>
      <c r="K48" s="361"/>
      <c r="N48" t="s">
        <v>869</v>
      </c>
    </row>
    <row r="49" spans="1:14" ht="13" hidden="1" thickTop="1" x14ac:dyDescent="0.25">
      <c r="A49" s="364" t="s">
        <v>133</v>
      </c>
      <c r="B49">
        <v>3544</v>
      </c>
      <c r="C49" t="s">
        <v>870</v>
      </c>
      <c r="D49" s="363">
        <v>0</v>
      </c>
      <c r="E49" s="360"/>
      <c r="F49" s="363">
        <v>0</v>
      </c>
      <c r="G49" s="363"/>
      <c r="H49" s="363">
        <v>0</v>
      </c>
      <c r="I49" s="363"/>
      <c r="J49" s="363">
        <v>0</v>
      </c>
      <c r="K49" s="361"/>
      <c r="N49" t="s">
        <v>870</v>
      </c>
    </row>
    <row r="50" spans="1:14" ht="13" hidden="1" thickTop="1" x14ac:dyDescent="0.25">
      <c r="A50" s="364" t="s">
        <v>640</v>
      </c>
      <c r="B50">
        <v>2022</v>
      </c>
      <c r="C50" t="s">
        <v>871</v>
      </c>
      <c r="D50" s="363">
        <v>0</v>
      </c>
      <c r="E50" s="360"/>
      <c r="F50" s="363">
        <v>0</v>
      </c>
      <c r="G50" s="363"/>
      <c r="H50" s="363">
        <v>0</v>
      </c>
      <c r="I50" s="363"/>
      <c r="J50" s="363">
        <v>0</v>
      </c>
      <c r="K50" s="361"/>
      <c r="N50" t="s">
        <v>871</v>
      </c>
    </row>
    <row r="51" spans="1:14" ht="13" hidden="1" thickTop="1" x14ac:dyDescent="0.25">
      <c r="A51" s="364" t="s">
        <v>641</v>
      </c>
      <c r="B51">
        <v>2020</v>
      </c>
      <c r="C51" t="s">
        <v>872</v>
      </c>
      <c r="D51" s="363">
        <v>0</v>
      </c>
      <c r="E51" s="360"/>
      <c r="F51" s="363">
        <v>0</v>
      </c>
      <c r="G51" s="363"/>
      <c r="H51" s="363">
        <v>0</v>
      </c>
      <c r="I51" s="363"/>
      <c r="J51" s="363">
        <v>0</v>
      </c>
      <c r="K51" s="361"/>
      <c r="N51" t="s">
        <v>872</v>
      </c>
    </row>
    <row r="52" spans="1:14" ht="13" hidden="1" thickTop="1" x14ac:dyDescent="0.25">
      <c r="A52" s="364" t="s">
        <v>642</v>
      </c>
      <c r="B52">
        <v>2028</v>
      </c>
      <c r="C52" s="357" t="s">
        <v>873</v>
      </c>
      <c r="D52" s="363">
        <v>0</v>
      </c>
      <c r="E52" s="360"/>
      <c r="F52" s="363">
        <v>0</v>
      </c>
      <c r="G52" s="363"/>
      <c r="H52" s="363">
        <v>0</v>
      </c>
      <c r="I52" s="363"/>
      <c r="J52" s="363">
        <v>0</v>
      </c>
      <c r="K52" s="361"/>
      <c r="N52" t="s">
        <v>873</v>
      </c>
    </row>
    <row r="53" spans="1:14" ht="13" hidden="1" thickTop="1" x14ac:dyDescent="0.25">
      <c r="A53" s="364" t="s">
        <v>643</v>
      </c>
      <c r="B53">
        <v>3543</v>
      </c>
      <c r="C53" t="s">
        <v>874</v>
      </c>
      <c r="D53" s="363">
        <v>0</v>
      </c>
      <c r="E53" s="360"/>
      <c r="F53" s="363">
        <v>0</v>
      </c>
      <c r="G53" s="363"/>
      <c r="H53" s="363">
        <v>0</v>
      </c>
      <c r="I53" s="363"/>
      <c r="J53" s="363">
        <v>0</v>
      </c>
      <c r="K53" s="361"/>
      <c r="N53" t="s">
        <v>874</v>
      </c>
    </row>
    <row r="54" spans="1:14" ht="13" hidden="1" thickTop="1" x14ac:dyDescent="0.25">
      <c r="A54" s="364" t="s">
        <v>644</v>
      </c>
      <c r="B54">
        <v>3158</v>
      </c>
      <c r="C54" t="s">
        <v>875</v>
      </c>
      <c r="D54" s="363">
        <v>0</v>
      </c>
      <c r="E54" s="360"/>
      <c r="F54" s="363">
        <v>195</v>
      </c>
      <c r="G54" s="363"/>
      <c r="H54" s="363">
        <v>167.14285714285714</v>
      </c>
      <c r="I54" s="363"/>
      <c r="J54" s="363">
        <v>362.14285714285711</v>
      </c>
      <c r="K54" s="361"/>
      <c r="N54" t="s">
        <v>875</v>
      </c>
    </row>
    <row r="55" spans="1:14" ht="13" hidden="1" thickTop="1" x14ac:dyDescent="0.25">
      <c r="A55" s="364" t="s">
        <v>645</v>
      </c>
      <c r="B55">
        <v>3528</v>
      </c>
      <c r="C55" t="s">
        <v>876</v>
      </c>
      <c r="D55" s="363">
        <v>0</v>
      </c>
      <c r="E55" s="360"/>
      <c r="F55" s="363">
        <v>0</v>
      </c>
      <c r="G55" s="363"/>
      <c r="H55" s="363">
        <v>0</v>
      </c>
      <c r="I55" s="363"/>
      <c r="J55" s="363">
        <v>0</v>
      </c>
      <c r="K55" s="361"/>
      <c r="N55" t="s">
        <v>876</v>
      </c>
    </row>
    <row r="56" spans="1:14" ht="13" hidden="1" thickTop="1" x14ac:dyDescent="0.25">
      <c r="A56" s="364" t="s">
        <v>646</v>
      </c>
      <c r="B56">
        <v>3546</v>
      </c>
      <c r="C56" t="s">
        <v>877</v>
      </c>
      <c r="D56" s="363">
        <v>135</v>
      </c>
      <c r="E56" s="360"/>
      <c r="F56" s="363">
        <v>420</v>
      </c>
      <c r="G56" s="363"/>
      <c r="H56" s="363">
        <v>360</v>
      </c>
      <c r="I56" s="363"/>
      <c r="J56" s="363">
        <v>915</v>
      </c>
      <c r="K56" s="361"/>
      <c r="N56" t="s">
        <v>877</v>
      </c>
    </row>
    <row r="57" spans="1:14" ht="13" hidden="1" thickTop="1" x14ac:dyDescent="0.25">
      <c r="A57" s="364" t="s">
        <v>647</v>
      </c>
      <c r="B57">
        <v>3530</v>
      </c>
      <c r="C57" t="s">
        <v>878</v>
      </c>
      <c r="D57" s="363">
        <v>0</v>
      </c>
      <c r="E57" s="360"/>
      <c r="F57" s="363">
        <v>0</v>
      </c>
      <c r="G57" s="363"/>
      <c r="H57" s="363">
        <v>0</v>
      </c>
      <c r="I57" s="363"/>
      <c r="J57" s="363">
        <v>0</v>
      </c>
      <c r="K57" s="361"/>
      <c r="N57" t="s">
        <v>878</v>
      </c>
    </row>
    <row r="58" spans="1:14" ht="13" hidden="1" thickTop="1" x14ac:dyDescent="0.25">
      <c r="A58" s="364" t="s">
        <v>648</v>
      </c>
      <c r="B58">
        <v>2007</v>
      </c>
      <c r="C58" t="s">
        <v>879</v>
      </c>
      <c r="D58" s="363">
        <v>0</v>
      </c>
      <c r="E58" s="360"/>
      <c r="F58" s="363">
        <v>210</v>
      </c>
      <c r="G58" s="363"/>
      <c r="H58" s="363">
        <v>180</v>
      </c>
      <c r="I58" s="363"/>
      <c r="J58" s="363">
        <v>390</v>
      </c>
      <c r="K58" s="361"/>
      <c r="N58" t="s">
        <v>879</v>
      </c>
    </row>
    <row r="59" spans="1:14" ht="13" hidden="1" thickTop="1" x14ac:dyDescent="0.25">
      <c r="A59" s="364" t="s">
        <v>880</v>
      </c>
      <c r="B59">
        <v>4000</v>
      </c>
      <c r="C59" t="s">
        <v>649</v>
      </c>
      <c r="D59" s="363">
        <v>0</v>
      </c>
      <c r="E59" s="360"/>
      <c r="F59" s="363">
        <v>0</v>
      </c>
      <c r="G59" s="363"/>
      <c r="H59" s="363">
        <v>0</v>
      </c>
      <c r="I59" s="363"/>
      <c r="J59" s="363">
        <v>0</v>
      </c>
      <c r="K59" s="361"/>
      <c r="N59" t="s">
        <v>649</v>
      </c>
    </row>
    <row r="60" spans="1:14" ht="15.5" thickTop="1" thickBot="1" x14ac:dyDescent="0.4">
      <c r="A60" s="347" t="s">
        <v>881</v>
      </c>
      <c r="B60" s="348"/>
      <c r="C60" s="348"/>
      <c r="D60" s="370">
        <v>170035.1</v>
      </c>
      <c r="E60" s="367"/>
      <c r="F60" s="370">
        <v>194203.61303501949</v>
      </c>
      <c r="G60" s="370"/>
      <c r="H60" s="370">
        <v>166460.23974430241</v>
      </c>
      <c r="I60" s="370"/>
      <c r="J60" s="370">
        <v>530698.95277932193</v>
      </c>
      <c r="K60" s="368"/>
      <c r="L60" s="348"/>
      <c r="M60" s="379"/>
      <c r="N60">
        <v>0</v>
      </c>
    </row>
    <row r="61" spans="1:14" ht="13" hidden="1" thickTop="1" x14ac:dyDescent="0.25">
      <c r="A61" s="364" t="s">
        <v>331</v>
      </c>
      <c r="B61">
        <v>206189</v>
      </c>
      <c r="C61" t="s">
        <v>882</v>
      </c>
      <c r="D61" s="363">
        <v>1176</v>
      </c>
      <c r="E61" s="360"/>
      <c r="F61" s="363">
        <v>1470</v>
      </c>
      <c r="G61" s="363"/>
      <c r="H61" s="363">
        <v>1260</v>
      </c>
      <c r="I61" s="363"/>
      <c r="J61" s="363">
        <v>3906</v>
      </c>
      <c r="K61" s="361"/>
      <c r="N61" t="s">
        <v>882</v>
      </c>
    </row>
    <row r="62" spans="1:14" ht="13" hidden="1" thickTop="1" x14ac:dyDescent="0.25">
      <c r="A62" s="364" t="s">
        <v>332</v>
      </c>
      <c r="B62" t="s">
        <v>652</v>
      </c>
      <c r="C62" t="s">
        <v>883</v>
      </c>
      <c r="D62" s="363">
        <v>1990</v>
      </c>
      <c r="E62" s="360"/>
      <c r="F62" s="363">
        <v>1260</v>
      </c>
      <c r="G62" s="363"/>
      <c r="H62" s="363">
        <v>1080</v>
      </c>
      <c r="I62" s="363"/>
      <c r="J62" s="363">
        <v>4330</v>
      </c>
      <c r="K62" s="361"/>
      <c r="N62" t="s">
        <v>883</v>
      </c>
    </row>
    <row r="63" spans="1:14" ht="13" hidden="1" thickTop="1" x14ac:dyDescent="0.25">
      <c r="A63" s="364" t="s">
        <v>167</v>
      </c>
      <c r="B63" t="s">
        <v>335</v>
      </c>
      <c r="C63" t="s">
        <v>884</v>
      </c>
      <c r="D63" s="363">
        <v>471</v>
      </c>
      <c r="E63" s="360"/>
      <c r="F63" s="363">
        <v>210</v>
      </c>
      <c r="G63" s="363"/>
      <c r="H63" s="363">
        <v>180</v>
      </c>
      <c r="I63" s="363"/>
      <c r="J63" s="363">
        <v>861</v>
      </c>
      <c r="K63" s="361"/>
      <c r="N63" t="s">
        <v>884</v>
      </c>
    </row>
    <row r="64" spans="1:14" ht="13" hidden="1" thickTop="1" x14ac:dyDescent="0.25">
      <c r="A64" s="364" t="s">
        <v>337</v>
      </c>
      <c r="B64" t="s">
        <v>336</v>
      </c>
      <c r="C64" t="s">
        <v>885</v>
      </c>
      <c r="D64" s="363">
        <v>3723.36</v>
      </c>
      <c r="E64" s="360"/>
      <c r="F64" s="363">
        <v>2989.6400000000003</v>
      </c>
      <c r="G64" s="363"/>
      <c r="H64" s="363">
        <v>2562.5485714285714</v>
      </c>
      <c r="I64" s="363"/>
      <c r="J64" s="363">
        <v>9275.5485714285714</v>
      </c>
      <c r="K64" s="361"/>
      <c r="N64" t="s">
        <v>885</v>
      </c>
    </row>
    <row r="65" spans="1:14" ht="13" hidden="1" thickTop="1" x14ac:dyDescent="0.25">
      <c r="A65" s="364" t="s">
        <v>338</v>
      </c>
      <c r="B65">
        <v>206124</v>
      </c>
      <c r="C65" t="s">
        <v>887</v>
      </c>
      <c r="D65" s="363">
        <v>1632</v>
      </c>
      <c r="E65" s="360"/>
      <c r="F65" s="363">
        <v>2226</v>
      </c>
      <c r="G65" s="363"/>
      <c r="H65" s="363">
        <v>1908</v>
      </c>
      <c r="I65" s="363"/>
      <c r="J65" s="363">
        <v>5766</v>
      </c>
      <c r="K65" s="361"/>
      <c r="N65" t="s">
        <v>887</v>
      </c>
    </row>
    <row r="66" spans="1:14" ht="13" thickTop="1" x14ac:dyDescent="0.25">
      <c r="A66" s="364" t="s">
        <v>886</v>
      </c>
      <c r="B66" t="s">
        <v>1041</v>
      </c>
      <c r="C66" t="s">
        <v>1041</v>
      </c>
      <c r="D66" s="363">
        <v>0</v>
      </c>
      <c r="E66" s="360"/>
      <c r="F66" s="363">
        <v>0</v>
      </c>
      <c r="G66" s="363"/>
      <c r="H66" s="363">
        <v>0</v>
      </c>
      <c r="I66" s="363"/>
      <c r="J66" s="363">
        <v>0</v>
      </c>
      <c r="K66" s="361"/>
      <c r="N66" t="s">
        <v>1041</v>
      </c>
    </row>
    <row r="67" spans="1:14" hidden="1" x14ac:dyDescent="0.25">
      <c r="A67" s="364" t="s">
        <v>341</v>
      </c>
      <c r="B67">
        <v>206126</v>
      </c>
      <c r="C67" t="s">
        <v>888</v>
      </c>
      <c r="D67" s="363">
        <v>504</v>
      </c>
      <c r="E67" s="360"/>
      <c r="F67" s="363">
        <v>1708</v>
      </c>
      <c r="G67" s="363"/>
      <c r="H67" s="363">
        <v>1464</v>
      </c>
      <c r="I67" s="363"/>
      <c r="J67" s="363">
        <v>3676</v>
      </c>
      <c r="K67" s="361"/>
      <c r="N67" t="s">
        <v>888</v>
      </c>
    </row>
    <row r="68" spans="1:14" hidden="1" x14ac:dyDescent="0.25">
      <c r="A68" s="364" t="s">
        <v>342</v>
      </c>
      <c r="B68">
        <v>206111</v>
      </c>
      <c r="C68" t="s">
        <v>889</v>
      </c>
      <c r="D68" s="363">
        <v>7024.5599999999968</v>
      </c>
      <c r="E68" s="360"/>
      <c r="F68" s="363">
        <v>8413.2000000000044</v>
      </c>
      <c r="G68" s="363"/>
      <c r="H68" s="363">
        <v>7211.3142857142884</v>
      </c>
      <c r="I68" s="363"/>
      <c r="J68" s="363">
        <v>22649.07428571429</v>
      </c>
      <c r="K68" s="361"/>
      <c r="N68" t="s">
        <v>889</v>
      </c>
    </row>
    <row r="69" spans="1:14" x14ac:dyDescent="0.25">
      <c r="A69" s="364" t="s">
        <v>890</v>
      </c>
      <c r="B69" t="s">
        <v>891</v>
      </c>
      <c r="C69" t="s">
        <v>891</v>
      </c>
      <c r="D69" s="363">
        <v>4622.8399999999983</v>
      </c>
      <c r="E69" s="360"/>
      <c r="F69" s="363">
        <v>3466.6000000000004</v>
      </c>
      <c r="G69" s="363"/>
      <c r="H69" s="363">
        <v>2971.3714285714286</v>
      </c>
      <c r="I69" s="363"/>
      <c r="J69" s="363">
        <v>11060.811428571427</v>
      </c>
      <c r="K69" s="361"/>
      <c r="N69" t="s">
        <v>891</v>
      </c>
    </row>
    <row r="70" spans="1:14" hidden="1" x14ac:dyDescent="0.25">
      <c r="A70" s="364" t="s">
        <v>343</v>
      </c>
      <c r="B70">
        <v>206091</v>
      </c>
      <c r="C70" t="s">
        <v>892</v>
      </c>
      <c r="D70" s="363">
        <v>1654.8099999999995</v>
      </c>
      <c r="E70" s="360"/>
      <c r="F70" s="363">
        <v>5106.9599999999991</v>
      </c>
      <c r="G70" s="363"/>
      <c r="H70" s="363">
        <v>4377.3942857142847</v>
      </c>
      <c r="I70" s="363"/>
      <c r="J70" s="363">
        <v>11139.164285714283</v>
      </c>
      <c r="K70" s="361"/>
      <c r="N70" t="s">
        <v>892</v>
      </c>
    </row>
    <row r="71" spans="1:14" x14ac:dyDescent="0.25">
      <c r="A71" s="364" t="s">
        <v>1042</v>
      </c>
      <c r="B71" t="s">
        <v>860</v>
      </c>
      <c r="C71" t="s">
        <v>860</v>
      </c>
      <c r="D71" s="363">
        <v>0</v>
      </c>
      <c r="E71" s="360"/>
      <c r="F71" s="363">
        <v>0</v>
      </c>
      <c r="G71" s="363"/>
      <c r="H71" s="363">
        <v>0</v>
      </c>
      <c r="I71" s="363"/>
      <c r="J71" s="363">
        <v>0</v>
      </c>
      <c r="K71" s="361"/>
      <c r="N71" t="s">
        <v>860</v>
      </c>
    </row>
    <row r="72" spans="1:14" hidden="1" x14ac:dyDescent="0.25">
      <c r="A72" s="364" t="s">
        <v>344</v>
      </c>
      <c r="B72">
        <v>206128</v>
      </c>
      <c r="C72" t="s">
        <v>893</v>
      </c>
      <c r="D72" s="363">
        <v>180</v>
      </c>
      <c r="E72" s="360"/>
      <c r="F72" s="363">
        <v>210</v>
      </c>
      <c r="G72" s="363"/>
      <c r="H72" s="363">
        <v>180</v>
      </c>
      <c r="I72" s="363"/>
      <c r="J72" s="363">
        <v>570</v>
      </c>
      <c r="K72" s="361"/>
      <c r="N72" t="s">
        <v>893</v>
      </c>
    </row>
    <row r="73" spans="1:14" hidden="1" x14ac:dyDescent="0.25">
      <c r="A73" s="364" t="s">
        <v>345</v>
      </c>
      <c r="B73">
        <v>205999</v>
      </c>
      <c r="C73" t="s">
        <v>894</v>
      </c>
      <c r="D73" s="363">
        <v>360</v>
      </c>
      <c r="E73" s="360"/>
      <c r="F73" s="363">
        <v>630</v>
      </c>
      <c r="G73" s="363"/>
      <c r="H73" s="363">
        <v>540</v>
      </c>
      <c r="I73" s="363"/>
      <c r="J73" s="363">
        <v>1530</v>
      </c>
      <c r="K73" s="361"/>
      <c r="N73" t="s">
        <v>894</v>
      </c>
    </row>
    <row r="74" spans="1:14" hidden="1" x14ac:dyDescent="0.25">
      <c r="A74" s="364" t="s">
        <v>347</v>
      </c>
      <c r="B74" t="s">
        <v>346</v>
      </c>
      <c r="C74" t="s">
        <v>895</v>
      </c>
      <c r="D74" s="363">
        <v>540</v>
      </c>
      <c r="E74" s="360"/>
      <c r="F74" s="363">
        <v>690</v>
      </c>
      <c r="G74" s="363"/>
      <c r="H74" s="363">
        <v>591.42857142857144</v>
      </c>
      <c r="I74" s="363"/>
      <c r="J74" s="363">
        <v>1821.4285714285716</v>
      </c>
      <c r="K74" s="361"/>
      <c r="N74" t="s">
        <v>895</v>
      </c>
    </row>
    <row r="75" spans="1:14" hidden="1" x14ac:dyDescent="0.25">
      <c r="A75" s="364" t="s">
        <v>349</v>
      </c>
      <c r="B75" t="s">
        <v>348</v>
      </c>
      <c r="C75" t="s">
        <v>896</v>
      </c>
      <c r="D75" s="363">
        <v>720</v>
      </c>
      <c r="E75" s="360"/>
      <c r="F75" s="363">
        <v>630</v>
      </c>
      <c r="G75" s="363"/>
      <c r="H75" s="363">
        <v>540</v>
      </c>
      <c r="I75" s="363"/>
      <c r="J75" s="363">
        <v>1890</v>
      </c>
      <c r="K75" s="361"/>
      <c r="N75" t="s">
        <v>896</v>
      </c>
    </row>
    <row r="76" spans="1:14" hidden="1" x14ac:dyDescent="0.25">
      <c r="A76" s="364" t="s">
        <v>350</v>
      </c>
      <c r="B76">
        <v>205921</v>
      </c>
      <c r="C76" t="s">
        <v>897</v>
      </c>
      <c r="D76" s="363">
        <v>0</v>
      </c>
      <c r="E76" s="360"/>
      <c r="F76" s="363">
        <v>0</v>
      </c>
      <c r="G76" s="363"/>
      <c r="H76" s="363">
        <v>0</v>
      </c>
      <c r="I76" s="363"/>
      <c r="J76" s="363">
        <v>0</v>
      </c>
      <c r="K76" s="361"/>
      <c r="N76" t="s">
        <v>897</v>
      </c>
    </row>
    <row r="77" spans="1:14" hidden="1" x14ac:dyDescent="0.25">
      <c r="A77" s="364" t="s">
        <v>351</v>
      </c>
      <c r="B77">
        <v>206011</v>
      </c>
      <c r="C77" t="s">
        <v>898</v>
      </c>
      <c r="D77" s="363">
        <v>0</v>
      </c>
      <c r="E77" s="360"/>
      <c r="F77" s="363">
        <v>210</v>
      </c>
      <c r="G77" s="363"/>
      <c r="H77" s="363">
        <v>180</v>
      </c>
      <c r="I77" s="363"/>
      <c r="J77" s="363">
        <v>390</v>
      </c>
      <c r="K77" s="361"/>
      <c r="N77" t="s">
        <v>898</v>
      </c>
    </row>
    <row r="78" spans="1:14" x14ac:dyDescent="0.25">
      <c r="A78" s="364" t="s">
        <v>352</v>
      </c>
      <c r="B78" t="s">
        <v>899</v>
      </c>
      <c r="C78" t="s">
        <v>899</v>
      </c>
      <c r="D78" s="363">
        <v>1387.8</v>
      </c>
      <c r="E78" s="360"/>
      <c r="F78" s="363">
        <v>0</v>
      </c>
      <c r="G78" s="363"/>
      <c r="H78" s="363">
        <v>0</v>
      </c>
      <c r="I78" s="363"/>
      <c r="J78" s="363">
        <v>1387.8</v>
      </c>
      <c r="K78" s="361"/>
      <c r="N78" t="s">
        <v>899</v>
      </c>
    </row>
    <row r="79" spans="1:14" hidden="1" x14ac:dyDescent="0.25">
      <c r="A79" s="364" t="s">
        <v>356</v>
      </c>
      <c r="B79" t="s">
        <v>355</v>
      </c>
      <c r="C79" t="s">
        <v>900</v>
      </c>
      <c r="D79" s="363">
        <v>0</v>
      </c>
      <c r="E79" s="360"/>
      <c r="F79" s="363">
        <v>210</v>
      </c>
      <c r="G79" s="363"/>
      <c r="H79" s="363">
        <v>180</v>
      </c>
      <c r="I79" s="363"/>
      <c r="J79" s="363">
        <v>390</v>
      </c>
      <c r="K79" s="361"/>
      <c r="N79" t="s">
        <v>900</v>
      </c>
    </row>
    <row r="80" spans="1:14" hidden="1" x14ac:dyDescent="0.25">
      <c r="A80" s="364" t="s">
        <v>358</v>
      </c>
      <c r="B80" t="s">
        <v>357</v>
      </c>
      <c r="C80" t="s">
        <v>901</v>
      </c>
      <c r="D80" s="363">
        <v>0</v>
      </c>
      <c r="E80" s="360"/>
      <c r="F80" s="363">
        <v>210</v>
      </c>
      <c r="G80" s="363"/>
      <c r="H80" s="363">
        <v>180</v>
      </c>
      <c r="I80" s="363"/>
      <c r="J80" s="363">
        <v>390</v>
      </c>
      <c r="K80" s="361"/>
      <c r="N80" t="s">
        <v>901</v>
      </c>
    </row>
    <row r="81" spans="1:14" hidden="1" x14ac:dyDescent="0.25">
      <c r="A81" s="364" t="s">
        <v>360</v>
      </c>
      <c r="B81" t="s">
        <v>359</v>
      </c>
      <c r="C81" t="s">
        <v>902</v>
      </c>
      <c r="D81" s="363">
        <v>0</v>
      </c>
      <c r="E81" s="360"/>
      <c r="F81" s="363">
        <v>0</v>
      </c>
      <c r="G81" s="363"/>
      <c r="H81" s="363">
        <v>0</v>
      </c>
      <c r="I81" s="363"/>
      <c r="J81" s="363">
        <v>0</v>
      </c>
      <c r="K81" s="361"/>
      <c r="N81" t="s">
        <v>902</v>
      </c>
    </row>
    <row r="82" spans="1:14" hidden="1" x14ac:dyDescent="0.25">
      <c r="A82" s="364" t="s">
        <v>361</v>
      </c>
      <c r="B82">
        <v>2549324</v>
      </c>
      <c r="C82" t="s">
        <v>903</v>
      </c>
      <c r="D82" s="363">
        <v>1620</v>
      </c>
      <c r="E82" s="360"/>
      <c r="F82" s="363">
        <v>1470</v>
      </c>
      <c r="G82" s="363"/>
      <c r="H82" s="363">
        <v>1260</v>
      </c>
      <c r="I82" s="363"/>
      <c r="J82" s="363">
        <v>4350</v>
      </c>
      <c r="K82" s="361"/>
      <c r="N82" t="s">
        <v>903</v>
      </c>
    </row>
    <row r="83" spans="1:14" x14ac:dyDescent="0.25">
      <c r="A83" s="364" t="s">
        <v>904</v>
      </c>
      <c r="B83" t="s">
        <v>905</v>
      </c>
      <c r="C83" t="s">
        <v>905</v>
      </c>
      <c r="D83" s="363">
        <v>330</v>
      </c>
      <c r="E83" s="360"/>
      <c r="F83" s="363">
        <v>210</v>
      </c>
      <c r="G83" s="363"/>
      <c r="H83" s="363">
        <v>180</v>
      </c>
      <c r="I83" s="363"/>
      <c r="J83" s="363">
        <v>720</v>
      </c>
      <c r="K83" s="361"/>
      <c r="N83" t="s">
        <v>905</v>
      </c>
    </row>
    <row r="84" spans="1:14" hidden="1" x14ac:dyDescent="0.25">
      <c r="A84" s="364" t="s">
        <v>364</v>
      </c>
      <c r="B84">
        <v>2519477</v>
      </c>
      <c r="C84" t="s">
        <v>906</v>
      </c>
      <c r="D84" s="363">
        <v>180</v>
      </c>
      <c r="E84" s="360"/>
      <c r="F84" s="363">
        <v>0</v>
      </c>
      <c r="G84" s="363"/>
      <c r="H84" s="363">
        <v>0</v>
      </c>
      <c r="I84" s="363"/>
      <c r="J84" s="363">
        <v>180</v>
      </c>
      <c r="K84" s="361"/>
      <c r="N84" t="s">
        <v>906</v>
      </c>
    </row>
    <row r="85" spans="1:14" x14ac:dyDescent="0.25">
      <c r="A85" s="364" t="s">
        <v>1063</v>
      </c>
      <c r="B85" t="s">
        <v>1044</v>
      </c>
      <c r="C85" t="s">
        <v>1044</v>
      </c>
      <c r="D85" s="363">
        <v>144</v>
      </c>
      <c r="E85" s="360"/>
      <c r="F85" s="363">
        <v>210</v>
      </c>
      <c r="G85" s="363"/>
      <c r="H85" s="363">
        <v>180</v>
      </c>
      <c r="I85" s="363"/>
      <c r="J85" s="363">
        <v>534</v>
      </c>
      <c r="K85" s="361"/>
      <c r="N85" t="s">
        <v>1044</v>
      </c>
    </row>
    <row r="86" spans="1:14" hidden="1" x14ac:dyDescent="0.25">
      <c r="A86" s="364" t="s">
        <v>368</v>
      </c>
      <c r="B86" t="s">
        <v>367</v>
      </c>
      <c r="C86" t="s">
        <v>907</v>
      </c>
      <c r="D86" s="363">
        <v>360</v>
      </c>
      <c r="E86" s="360"/>
      <c r="F86" s="363">
        <v>420</v>
      </c>
      <c r="G86" s="363"/>
      <c r="H86" s="363">
        <v>360</v>
      </c>
      <c r="I86" s="363"/>
      <c r="J86" s="363">
        <v>1140</v>
      </c>
      <c r="K86" s="361"/>
      <c r="N86" t="s">
        <v>907</v>
      </c>
    </row>
    <row r="87" spans="1:14" x14ac:dyDescent="0.25">
      <c r="A87" s="364" t="s">
        <v>908</v>
      </c>
      <c r="B87" t="s">
        <v>909</v>
      </c>
      <c r="C87" t="s">
        <v>909</v>
      </c>
      <c r="D87" s="363">
        <v>0</v>
      </c>
      <c r="E87" s="360"/>
      <c r="F87" s="363">
        <v>195</v>
      </c>
      <c r="G87" s="363"/>
      <c r="H87" s="363">
        <v>167.14285714285714</v>
      </c>
      <c r="I87" s="363"/>
      <c r="J87" s="363">
        <v>362.14285714285711</v>
      </c>
      <c r="K87" s="361"/>
      <c r="N87" t="s">
        <v>909</v>
      </c>
    </row>
    <row r="88" spans="1:14" hidden="1" x14ac:dyDescent="0.25">
      <c r="A88" s="364" t="s">
        <v>369</v>
      </c>
      <c r="B88">
        <v>205852</v>
      </c>
      <c r="C88" t="s">
        <v>910</v>
      </c>
      <c r="D88" s="363">
        <v>360</v>
      </c>
      <c r="E88" s="360"/>
      <c r="F88" s="363">
        <v>420</v>
      </c>
      <c r="G88" s="363"/>
      <c r="H88" s="363">
        <v>360</v>
      </c>
      <c r="I88" s="363"/>
      <c r="J88" s="363">
        <v>1140</v>
      </c>
      <c r="K88" s="361"/>
      <c r="N88" t="s">
        <v>910</v>
      </c>
    </row>
    <row r="89" spans="1:14" x14ac:dyDescent="0.25">
      <c r="A89" s="364" t="s">
        <v>370</v>
      </c>
      <c r="B89" t="s">
        <v>1064</v>
      </c>
      <c r="C89" t="s">
        <v>1064</v>
      </c>
      <c r="D89" s="363">
        <v>180</v>
      </c>
      <c r="E89" s="360"/>
      <c r="F89" s="363">
        <v>126</v>
      </c>
      <c r="G89" s="363"/>
      <c r="H89" s="363">
        <v>108</v>
      </c>
      <c r="I89" s="363"/>
      <c r="J89" s="363">
        <v>414</v>
      </c>
      <c r="K89" s="361"/>
      <c r="N89" t="s">
        <v>1064</v>
      </c>
    </row>
    <row r="90" spans="1:14" hidden="1" x14ac:dyDescent="0.25">
      <c r="A90" s="364" t="s">
        <v>371</v>
      </c>
      <c r="B90">
        <v>205922</v>
      </c>
      <c r="C90" t="s">
        <v>911</v>
      </c>
      <c r="D90" s="363">
        <v>720</v>
      </c>
      <c r="E90" s="360"/>
      <c r="F90" s="363">
        <v>840</v>
      </c>
      <c r="G90" s="363"/>
      <c r="H90" s="363">
        <v>720</v>
      </c>
      <c r="I90" s="363"/>
      <c r="J90" s="363">
        <v>2280</v>
      </c>
      <c r="K90" s="361"/>
      <c r="N90" t="s">
        <v>911</v>
      </c>
    </row>
    <row r="91" spans="1:14" hidden="1" x14ac:dyDescent="0.25">
      <c r="A91" s="364" t="s">
        <v>373</v>
      </c>
      <c r="B91" t="s">
        <v>372</v>
      </c>
      <c r="C91" t="s">
        <v>912</v>
      </c>
      <c r="D91" s="363">
        <v>180</v>
      </c>
      <c r="E91" s="360"/>
      <c r="F91" s="363">
        <v>420</v>
      </c>
      <c r="G91" s="363"/>
      <c r="H91" s="363">
        <v>360</v>
      </c>
      <c r="I91" s="363"/>
      <c r="J91" s="363">
        <v>960</v>
      </c>
      <c r="K91" s="361"/>
      <c r="N91" t="s">
        <v>912</v>
      </c>
    </row>
    <row r="92" spans="1:14" hidden="1" x14ac:dyDescent="0.25">
      <c r="A92" s="364" t="s">
        <v>375</v>
      </c>
      <c r="B92" t="s">
        <v>374</v>
      </c>
      <c r="C92" t="s">
        <v>913</v>
      </c>
      <c r="D92" s="363">
        <v>540</v>
      </c>
      <c r="E92" s="360"/>
      <c r="F92" s="363">
        <v>465</v>
      </c>
      <c r="G92" s="363"/>
      <c r="H92" s="363">
        <v>398.57142857142856</v>
      </c>
      <c r="I92" s="363"/>
      <c r="J92" s="363">
        <v>1403.5714285714284</v>
      </c>
      <c r="K92" s="361"/>
      <c r="N92" t="s">
        <v>913</v>
      </c>
    </row>
    <row r="93" spans="1:14" x14ac:dyDescent="0.25">
      <c r="A93" s="364" t="s">
        <v>914</v>
      </c>
      <c r="B93" t="s">
        <v>915</v>
      </c>
      <c r="C93" t="s">
        <v>915</v>
      </c>
      <c r="D93" s="363">
        <v>0</v>
      </c>
      <c r="E93" s="360"/>
      <c r="F93" s="363">
        <v>0</v>
      </c>
      <c r="G93" s="363"/>
      <c r="H93" s="363">
        <v>0</v>
      </c>
      <c r="I93" s="363"/>
      <c r="J93" s="363">
        <v>0</v>
      </c>
      <c r="K93" s="361"/>
      <c r="N93" t="s">
        <v>915</v>
      </c>
    </row>
    <row r="94" spans="1:14" hidden="1" x14ac:dyDescent="0.25">
      <c r="A94" s="364" t="s">
        <v>376</v>
      </c>
      <c r="B94">
        <v>205947</v>
      </c>
      <c r="C94" t="s">
        <v>916</v>
      </c>
      <c r="D94" s="363">
        <v>360</v>
      </c>
      <c r="E94" s="360"/>
      <c r="F94" s="363">
        <v>420</v>
      </c>
      <c r="G94" s="363"/>
      <c r="H94" s="363">
        <v>360</v>
      </c>
      <c r="I94" s="363"/>
      <c r="J94" s="363">
        <v>1140</v>
      </c>
      <c r="K94" s="361"/>
      <c r="N94" t="s">
        <v>916</v>
      </c>
    </row>
    <row r="95" spans="1:14" hidden="1" x14ac:dyDescent="0.25">
      <c r="A95" s="364" t="s">
        <v>379</v>
      </c>
      <c r="B95" t="s">
        <v>378</v>
      </c>
      <c r="C95" t="s">
        <v>917</v>
      </c>
      <c r="D95" s="363">
        <v>180</v>
      </c>
      <c r="E95" s="360"/>
      <c r="F95" s="363">
        <v>210</v>
      </c>
      <c r="G95" s="363"/>
      <c r="H95" s="363">
        <v>180</v>
      </c>
      <c r="I95" s="363"/>
      <c r="J95" s="363">
        <v>570</v>
      </c>
      <c r="K95" s="361"/>
      <c r="N95" t="s">
        <v>917</v>
      </c>
    </row>
    <row r="96" spans="1:14" x14ac:dyDescent="0.25">
      <c r="A96" s="364" t="s">
        <v>377</v>
      </c>
      <c r="B96" t="s">
        <v>918</v>
      </c>
      <c r="C96" t="s">
        <v>918</v>
      </c>
      <c r="D96" s="363">
        <v>1400.85</v>
      </c>
      <c r="E96" s="360"/>
      <c r="F96" s="363">
        <v>420</v>
      </c>
      <c r="G96" s="363"/>
      <c r="H96" s="363">
        <v>360</v>
      </c>
      <c r="I96" s="363"/>
      <c r="J96" s="363">
        <v>2180.85</v>
      </c>
      <c r="K96" s="361"/>
      <c r="N96" t="s">
        <v>918</v>
      </c>
    </row>
    <row r="97" spans="1:14" x14ac:dyDescent="0.25">
      <c r="A97" s="364" t="s">
        <v>1065</v>
      </c>
      <c r="B97" t="s">
        <v>1066</v>
      </c>
      <c r="C97" t="s">
        <v>1066</v>
      </c>
      <c r="D97" s="363">
        <v>180</v>
      </c>
      <c r="E97" s="360"/>
      <c r="F97" s="363">
        <v>840</v>
      </c>
      <c r="G97" s="363"/>
      <c r="H97" s="363">
        <v>720</v>
      </c>
      <c r="I97" s="363"/>
      <c r="J97" s="363">
        <v>1740</v>
      </c>
      <c r="K97" s="361"/>
      <c r="N97" t="s">
        <v>1066</v>
      </c>
    </row>
    <row r="98" spans="1:14" hidden="1" x14ac:dyDescent="0.25">
      <c r="A98" s="364" t="s">
        <v>772</v>
      </c>
      <c r="B98" t="s">
        <v>382</v>
      </c>
      <c r="C98" t="s">
        <v>919</v>
      </c>
      <c r="D98" s="363">
        <v>720</v>
      </c>
      <c r="E98" s="360"/>
      <c r="F98" s="363">
        <v>840</v>
      </c>
      <c r="G98" s="363"/>
      <c r="H98" s="363">
        <v>720</v>
      </c>
      <c r="I98" s="363"/>
      <c r="J98" s="363">
        <v>2280</v>
      </c>
      <c r="K98" s="361"/>
      <c r="N98" t="s">
        <v>919</v>
      </c>
    </row>
    <row r="99" spans="1:14" hidden="1" x14ac:dyDescent="0.25">
      <c r="A99" s="364" t="s">
        <v>386</v>
      </c>
      <c r="B99" t="s">
        <v>385</v>
      </c>
      <c r="C99" t="s">
        <v>920</v>
      </c>
      <c r="D99" s="363">
        <v>0</v>
      </c>
      <c r="E99" s="360"/>
      <c r="F99" s="363">
        <v>210</v>
      </c>
      <c r="G99" s="363"/>
      <c r="H99" s="363">
        <v>180</v>
      </c>
      <c r="I99" s="363"/>
      <c r="J99" s="363">
        <v>390</v>
      </c>
      <c r="K99" s="361"/>
      <c r="N99" t="s">
        <v>920</v>
      </c>
    </row>
    <row r="100" spans="1:14" hidden="1" x14ac:dyDescent="0.25">
      <c r="A100" s="364" t="s">
        <v>388</v>
      </c>
      <c r="B100" t="s">
        <v>387</v>
      </c>
      <c r="C100" t="s">
        <v>921</v>
      </c>
      <c r="D100" s="363">
        <v>360</v>
      </c>
      <c r="E100" s="360"/>
      <c r="F100" s="363">
        <v>420</v>
      </c>
      <c r="G100" s="363"/>
      <c r="H100" s="363">
        <v>360</v>
      </c>
      <c r="I100" s="363"/>
      <c r="J100" s="363">
        <v>1140</v>
      </c>
      <c r="K100" s="361"/>
      <c r="N100" t="s">
        <v>921</v>
      </c>
    </row>
    <row r="101" spans="1:14" hidden="1" x14ac:dyDescent="0.25">
      <c r="A101" s="364" t="s">
        <v>390</v>
      </c>
      <c r="B101" t="s">
        <v>389</v>
      </c>
      <c r="C101" t="s">
        <v>922</v>
      </c>
      <c r="D101" s="363">
        <v>540</v>
      </c>
      <c r="E101" s="360"/>
      <c r="F101" s="363">
        <v>630</v>
      </c>
      <c r="G101" s="363"/>
      <c r="H101" s="363">
        <v>540</v>
      </c>
      <c r="I101" s="363"/>
      <c r="J101" s="363">
        <v>1710</v>
      </c>
      <c r="K101" s="361"/>
      <c r="N101" t="s">
        <v>922</v>
      </c>
    </row>
    <row r="102" spans="1:14" x14ac:dyDescent="0.25">
      <c r="A102" s="364" t="s">
        <v>758</v>
      </c>
      <c r="B102" t="s">
        <v>923</v>
      </c>
      <c r="C102" t="s">
        <v>923</v>
      </c>
      <c r="D102" s="363">
        <v>180</v>
      </c>
      <c r="E102" s="360"/>
      <c r="F102" s="363">
        <v>0</v>
      </c>
      <c r="G102" s="363"/>
      <c r="H102" s="363">
        <v>0</v>
      </c>
      <c r="I102" s="363"/>
      <c r="J102" s="363">
        <v>180</v>
      </c>
      <c r="K102" s="361"/>
      <c r="N102" t="s">
        <v>923</v>
      </c>
    </row>
    <row r="103" spans="1:14" x14ac:dyDescent="0.25">
      <c r="A103" s="364" t="s">
        <v>757</v>
      </c>
      <c r="B103" t="s">
        <v>924</v>
      </c>
      <c r="C103" t="s">
        <v>924</v>
      </c>
      <c r="D103" s="363">
        <v>540</v>
      </c>
      <c r="E103" s="360"/>
      <c r="F103" s="363">
        <v>210</v>
      </c>
      <c r="G103" s="363"/>
      <c r="H103" s="363">
        <v>180</v>
      </c>
      <c r="I103" s="363"/>
      <c r="J103" s="363">
        <v>930</v>
      </c>
      <c r="K103" s="361"/>
      <c r="N103" t="s">
        <v>924</v>
      </c>
    </row>
    <row r="104" spans="1:14" hidden="1" x14ac:dyDescent="0.25">
      <c r="A104" s="364" t="s">
        <v>393</v>
      </c>
      <c r="B104">
        <v>639307</v>
      </c>
      <c r="C104" t="s">
        <v>925</v>
      </c>
      <c r="D104" s="363">
        <v>180</v>
      </c>
      <c r="E104" s="360"/>
      <c r="F104" s="363">
        <v>60</v>
      </c>
      <c r="G104" s="363"/>
      <c r="H104" s="363">
        <v>51.428571428571431</v>
      </c>
      <c r="I104" s="363"/>
      <c r="J104" s="363">
        <v>291.42857142857144</v>
      </c>
      <c r="K104" s="361"/>
      <c r="N104" t="s">
        <v>925</v>
      </c>
    </row>
    <row r="105" spans="1:14" x14ac:dyDescent="0.25">
      <c r="A105" s="364" t="s">
        <v>394</v>
      </c>
      <c r="B105" t="s">
        <v>926</v>
      </c>
      <c r="C105" t="s">
        <v>926</v>
      </c>
      <c r="D105" s="363">
        <v>2835.6</v>
      </c>
      <c r="E105" s="360"/>
      <c r="F105" s="363">
        <v>415</v>
      </c>
      <c r="G105" s="363"/>
      <c r="H105" s="363">
        <v>355.71428571428572</v>
      </c>
      <c r="I105" s="363"/>
      <c r="J105" s="363">
        <v>3606.3142857142857</v>
      </c>
      <c r="K105" s="361"/>
      <c r="N105" t="s">
        <v>926</v>
      </c>
    </row>
    <row r="106" spans="1:14" x14ac:dyDescent="0.25">
      <c r="A106" s="364" t="s">
        <v>395</v>
      </c>
      <c r="B106" t="s">
        <v>927</v>
      </c>
      <c r="C106" t="s">
        <v>927</v>
      </c>
      <c r="D106" s="363">
        <v>180</v>
      </c>
      <c r="E106" s="360"/>
      <c r="F106" s="363">
        <v>630</v>
      </c>
      <c r="G106" s="363"/>
      <c r="H106" s="363">
        <v>540</v>
      </c>
      <c r="I106" s="363"/>
      <c r="J106" s="363">
        <v>1350</v>
      </c>
      <c r="K106" s="361"/>
      <c r="N106" t="s">
        <v>927</v>
      </c>
    </row>
    <row r="107" spans="1:14" hidden="1" x14ac:dyDescent="0.25">
      <c r="A107" s="364" t="s">
        <v>396</v>
      </c>
      <c r="B107">
        <v>2559906</v>
      </c>
      <c r="C107" t="s">
        <v>928</v>
      </c>
      <c r="D107" s="363">
        <v>180</v>
      </c>
      <c r="E107" s="360"/>
      <c r="F107" s="363">
        <v>210</v>
      </c>
      <c r="G107" s="363"/>
      <c r="H107" s="363">
        <v>180</v>
      </c>
      <c r="I107" s="363"/>
      <c r="J107" s="363">
        <v>570</v>
      </c>
      <c r="K107" s="361"/>
      <c r="N107" t="s">
        <v>928</v>
      </c>
    </row>
    <row r="108" spans="1:14" x14ac:dyDescent="0.25">
      <c r="A108" s="364" t="s">
        <v>929</v>
      </c>
      <c r="B108" t="s">
        <v>930</v>
      </c>
      <c r="C108" t="s">
        <v>930</v>
      </c>
      <c r="D108" s="363">
        <v>408</v>
      </c>
      <c r="E108" s="360"/>
      <c r="F108" s="363">
        <v>210</v>
      </c>
      <c r="G108" s="363"/>
      <c r="H108" s="363">
        <v>180</v>
      </c>
      <c r="I108" s="363"/>
      <c r="J108" s="363">
        <v>798</v>
      </c>
      <c r="K108" s="361"/>
      <c r="N108" t="s">
        <v>930</v>
      </c>
    </row>
    <row r="109" spans="1:14" x14ac:dyDescent="0.25">
      <c r="A109" s="364" t="s">
        <v>1067</v>
      </c>
      <c r="B109" t="s">
        <v>1068</v>
      </c>
      <c r="C109" t="s">
        <v>1068</v>
      </c>
      <c r="D109" s="363">
        <v>540</v>
      </c>
      <c r="E109" s="360"/>
      <c r="F109" s="363">
        <v>210</v>
      </c>
      <c r="G109" s="363"/>
      <c r="H109" s="363">
        <v>180</v>
      </c>
      <c r="I109" s="363"/>
      <c r="J109" s="363">
        <v>930</v>
      </c>
      <c r="K109" s="361"/>
      <c r="N109" t="s">
        <v>1068</v>
      </c>
    </row>
    <row r="110" spans="1:14" hidden="1" x14ac:dyDescent="0.25">
      <c r="A110" s="364" t="s">
        <v>401</v>
      </c>
      <c r="B110" t="s">
        <v>400</v>
      </c>
      <c r="C110" t="s">
        <v>931</v>
      </c>
      <c r="D110" s="363">
        <v>0</v>
      </c>
      <c r="E110" s="360"/>
      <c r="F110" s="363">
        <v>210</v>
      </c>
      <c r="G110" s="363"/>
      <c r="H110" s="363">
        <v>180</v>
      </c>
      <c r="I110" s="363"/>
      <c r="J110" s="363">
        <v>390</v>
      </c>
      <c r="K110" s="361"/>
      <c r="N110" t="s">
        <v>931</v>
      </c>
    </row>
    <row r="111" spans="1:14" hidden="1" x14ac:dyDescent="0.25">
      <c r="A111" s="364" t="s">
        <v>403</v>
      </c>
      <c r="B111" t="s">
        <v>402</v>
      </c>
      <c r="C111" t="s">
        <v>932</v>
      </c>
      <c r="D111" s="363">
        <v>0</v>
      </c>
      <c r="E111" s="360"/>
      <c r="F111" s="363">
        <v>0</v>
      </c>
      <c r="G111" s="363"/>
      <c r="H111" s="363">
        <v>0</v>
      </c>
      <c r="I111" s="363"/>
      <c r="J111" s="363">
        <v>0</v>
      </c>
      <c r="K111" s="361"/>
      <c r="N111" t="s">
        <v>932</v>
      </c>
    </row>
    <row r="112" spans="1:14" hidden="1" x14ac:dyDescent="0.25">
      <c r="A112" s="364" t="s">
        <v>404</v>
      </c>
      <c r="B112">
        <v>205881</v>
      </c>
      <c r="C112" t="s">
        <v>933</v>
      </c>
      <c r="D112" s="363">
        <v>720</v>
      </c>
      <c r="E112" s="360"/>
      <c r="F112" s="363">
        <v>1050</v>
      </c>
      <c r="G112" s="363"/>
      <c r="H112" s="363">
        <v>900</v>
      </c>
      <c r="I112" s="363"/>
      <c r="J112" s="363">
        <v>2670</v>
      </c>
      <c r="K112" s="361"/>
      <c r="N112" t="s">
        <v>933</v>
      </c>
    </row>
    <row r="113" spans="1:14" hidden="1" x14ac:dyDescent="0.25">
      <c r="A113" s="364" t="s">
        <v>406</v>
      </c>
      <c r="B113" t="s">
        <v>405</v>
      </c>
      <c r="C113" t="s">
        <v>934</v>
      </c>
      <c r="D113" s="363">
        <v>276</v>
      </c>
      <c r="E113" s="360"/>
      <c r="F113" s="363">
        <v>630</v>
      </c>
      <c r="G113" s="363"/>
      <c r="H113" s="363">
        <v>540</v>
      </c>
      <c r="I113" s="363"/>
      <c r="J113" s="363">
        <v>1446</v>
      </c>
      <c r="K113" s="361"/>
      <c r="N113" t="s">
        <v>934</v>
      </c>
    </row>
    <row r="114" spans="1:14" hidden="1" x14ac:dyDescent="0.25">
      <c r="A114" s="364" t="s">
        <v>408</v>
      </c>
      <c r="B114" t="s">
        <v>407</v>
      </c>
      <c r="C114" t="s">
        <v>935</v>
      </c>
      <c r="D114" s="363">
        <v>396</v>
      </c>
      <c r="E114" s="360"/>
      <c r="F114" s="363">
        <v>420</v>
      </c>
      <c r="G114" s="363"/>
      <c r="H114" s="363">
        <v>360</v>
      </c>
      <c r="I114" s="363"/>
      <c r="J114" s="363">
        <v>1176</v>
      </c>
      <c r="K114" s="361"/>
      <c r="N114" t="s">
        <v>935</v>
      </c>
    </row>
    <row r="115" spans="1:14" hidden="1" x14ac:dyDescent="0.25">
      <c r="A115" s="364" t="s">
        <v>410</v>
      </c>
      <c r="B115" t="s">
        <v>409</v>
      </c>
      <c r="C115" t="s">
        <v>936</v>
      </c>
      <c r="D115" s="363">
        <v>180</v>
      </c>
      <c r="E115" s="360"/>
      <c r="F115" s="363">
        <v>210</v>
      </c>
      <c r="G115" s="363"/>
      <c r="H115" s="363">
        <v>180</v>
      </c>
      <c r="I115" s="363"/>
      <c r="J115" s="363">
        <v>570</v>
      </c>
      <c r="K115" s="361"/>
      <c r="N115" t="s">
        <v>936</v>
      </c>
    </row>
    <row r="116" spans="1:14" x14ac:dyDescent="0.25">
      <c r="A116" s="364" t="s">
        <v>411</v>
      </c>
      <c r="B116" t="s">
        <v>1047</v>
      </c>
      <c r="C116" t="s">
        <v>1047</v>
      </c>
      <c r="D116" s="363">
        <v>360</v>
      </c>
      <c r="E116" s="360"/>
      <c r="F116" s="363">
        <v>210</v>
      </c>
      <c r="G116" s="363"/>
      <c r="H116" s="363">
        <v>180</v>
      </c>
      <c r="I116" s="363"/>
      <c r="J116" s="363">
        <v>750</v>
      </c>
      <c r="K116" s="361"/>
      <c r="N116" t="s">
        <v>1047</v>
      </c>
    </row>
    <row r="117" spans="1:14" hidden="1" x14ac:dyDescent="0.25">
      <c r="A117" s="364" t="s">
        <v>413</v>
      </c>
      <c r="B117" t="s">
        <v>412</v>
      </c>
      <c r="C117" t="s">
        <v>937</v>
      </c>
      <c r="D117" s="363">
        <v>540</v>
      </c>
      <c r="E117" s="360"/>
      <c r="F117" s="363">
        <v>210</v>
      </c>
      <c r="G117" s="363"/>
      <c r="H117" s="363">
        <v>180</v>
      </c>
      <c r="I117" s="363"/>
      <c r="J117" s="363">
        <v>930</v>
      </c>
      <c r="K117" s="361"/>
      <c r="N117" t="s">
        <v>937</v>
      </c>
    </row>
    <row r="118" spans="1:14" x14ac:dyDescent="0.25">
      <c r="A118" s="364" t="s">
        <v>1048</v>
      </c>
      <c r="B118" t="s">
        <v>1049</v>
      </c>
      <c r="C118" t="s">
        <v>1049</v>
      </c>
      <c r="D118" s="363">
        <v>360</v>
      </c>
      <c r="E118" s="360"/>
      <c r="F118" s="363">
        <v>420</v>
      </c>
      <c r="G118" s="363"/>
      <c r="H118" s="363">
        <v>360</v>
      </c>
      <c r="I118" s="363"/>
      <c r="J118" s="363">
        <v>1140</v>
      </c>
      <c r="K118" s="361"/>
      <c r="N118" t="s">
        <v>1049</v>
      </c>
    </row>
    <row r="119" spans="1:14" x14ac:dyDescent="0.25">
      <c r="A119" s="364" t="s">
        <v>414</v>
      </c>
      <c r="B119" s="393" t="s">
        <v>1069</v>
      </c>
      <c r="C119" s="393" t="s">
        <v>1069</v>
      </c>
      <c r="D119" s="363">
        <v>180</v>
      </c>
      <c r="E119" s="360"/>
      <c r="F119" s="363">
        <v>420</v>
      </c>
      <c r="G119" s="363"/>
      <c r="H119" s="363">
        <v>360</v>
      </c>
      <c r="I119" s="363"/>
      <c r="J119" s="363">
        <v>960</v>
      </c>
      <c r="K119" s="361"/>
      <c r="N119" t="s">
        <v>1069</v>
      </c>
    </row>
    <row r="120" spans="1:14" x14ac:dyDescent="0.25">
      <c r="A120" s="364" t="s">
        <v>419</v>
      </c>
      <c r="B120" t="s">
        <v>938</v>
      </c>
      <c r="C120" t="s">
        <v>938</v>
      </c>
      <c r="D120" s="363">
        <v>144</v>
      </c>
      <c r="E120" s="360"/>
      <c r="F120" s="363">
        <v>466</v>
      </c>
      <c r="G120" s="363"/>
      <c r="H120" s="363">
        <v>399.42857142857144</v>
      </c>
      <c r="I120" s="363"/>
      <c r="J120" s="363">
        <v>1009.4285714285714</v>
      </c>
      <c r="K120" s="361"/>
      <c r="N120" t="s">
        <v>938</v>
      </c>
    </row>
    <row r="121" spans="1:14" hidden="1" x14ac:dyDescent="0.25">
      <c r="A121" s="364" t="s">
        <v>424</v>
      </c>
      <c r="B121">
        <v>205878</v>
      </c>
      <c r="C121" t="s">
        <v>939</v>
      </c>
      <c r="D121" s="363">
        <v>180</v>
      </c>
      <c r="E121" s="360"/>
      <c r="F121" s="363">
        <v>210</v>
      </c>
      <c r="G121" s="363"/>
      <c r="H121" s="363">
        <v>180</v>
      </c>
      <c r="I121" s="363"/>
      <c r="J121" s="363">
        <v>570</v>
      </c>
      <c r="K121" s="361"/>
      <c r="N121" t="s">
        <v>939</v>
      </c>
    </row>
    <row r="122" spans="1:14" x14ac:dyDescent="0.25">
      <c r="A122" s="364" t="s">
        <v>940</v>
      </c>
      <c r="B122" t="s">
        <v>941</v>
      </c>
      <c r="C122" t="s">
        <v>941</v>
      </c>
      <c r="D122" s="363">
        <v>360</v>
      </c>
      <c r="E122" s="360"/>
      <c r="F122" s="363">
        <v>420</v>
      </c>
      <c r="G122" s="363"/>
      <c r="H122" s="363">
        <v>360</v>
      </c>
      <c r="I122" s="363"/>
      <c r="J122" s="363">
        <v>1140</v>
      </c>
      <c r="K122" s="361"/>
      <c r="N122" t="s">
        <v>941</v>
      </c>
    </row>
    <row r="123" spans="1:14" x14ac:dyDescent="0.25">
      <c r="A123" s="364" t="s">
        <v>942</v>
      </c>
      <c r="B123" t="s">
        <v>943</v>
      </c>
      <c r="C123" t="s">
        <v>943</v>
      </c>
      <c r="D123" s="363">
        <v>540</v>
      </c>
      <c r="E123" s="360"/>
      <c r="F123" s="363">
        <v>0</v>
      </c>
      <c r="G123" s="363"/>
      <c r="H123" s="363">
        <v>0</v>
      </c>
      <c r="I123" s="363"/>
      <c r="J123" s="363">
        <v>540</v>
      </c>
      <c r="K123" s="361"/>
      <c r="N123" t="s">
        <v>943</v>
      </c>
    </row>
    <row r="124" spans="1:14" hidden="1" x14ac:dyDescent="0.25">
      <c r="A124" s="364" t="s">
        <v>426</v>
      </c>
      <c r="B124" t="s">
        <v>425</v>
      </c>
      <c r="C124" t="s">
        <v>944</v>
      </c>
      <c r="D124" s="363">
        <v>0</v>
      </c>
      <c r="E124" s="360"/>
      <c r="F124" s="363">
        <v>210</v>
      </c>
      <c r="G124" s="363"/>
      <c r="H124" s="363">
        <v>180</v>
      </c>
      <c r="I124" s="363"/>
      <c r="J124" s="363">
        <v>390</v>
      </c>
      <c r="K124" s="361"/>
      <c r="N124" t="s">
        <v>944</v>
      </c>
    </row>
    <row r="125" spans="1:14" hidden="1" x14ac:dyDescent="0.25">
      <c r="A125" s="364" t="s">
        <v>428</v>
      </c>
      <c r="B125" t="s">
        <v>427</v>
      </c>
      <c r="C125" t="s">
        <v>945</v>
      </c>
      <c r="D125" s="363">
        <v>180</v>
      </c>
      <c r="E125" s="360"/>
      <c r="F125" s="363">
        <v>420</v>
      </c>
      <c r="G125" s="363"/>
      <c r="H125" s="363">
        <v>360</v>
      </c>
      <c r="I125" s="363"/>
      <c r="J125" s="363">
        <v>960</v>
      </c>
      <c r="K125" s="361"/>
      <c r="N125" t="s">
        <v>945</v>
      </c>
    </row>
    <row r="126" spans="1:14" x14ac:dyDescent="0.25">
      <c r="A126" s="364" t="s">
        <v>429</v>
      </c>
      <c r="B126" t="s">
        <v>946</v>
      </c>
      <c r="C126" t="s">
        <v>946</v>
      </c>
      <c r="D126" s="363">
        <v>36</v>
      </c>
      <c r="E126" s="360"/>
      <c r="F126" s="363">
        <v>210</v>
      </c>
      <c r="G126" s="363"/>
      <c r="H126" s="363">
        <v>180</v>
      </c>
      <c r="I126" s="363"/>
      <c r="J126" s="363">
        <v>426</v>
      </c>
      <c r="K126" s="361"/>
      <c r="N126" t="s">
        <v>946</v>
      </c>
    </row>
    <row r="127" spans="1:14" hidden="1" x14ac:dyDescent="0.25">
      <c r="A127" s="364" t="s">
        <v>430</v>
      </c>
      <c r="B127" t="s">
        <v>682</v>
      </c>
      <c r="C127" t="s">
        <v>682</v>
      </c>
      <c r="D127" s="363">
        <v>180</v>
      </c>
      <c r="E127" s="360"/>
      <c r="F127" s="363">
        <v>630</v>
      </c>
      <c r="G127" s="363"/>
      <c r="H127" s="363">
        <v>540</v>
      </c>
      <c r="I127" s="363"/>
      <c r="J127" s="363">
        <v>1350</v>
      </c>
      <c r="K127" s="361"/>
      <c r="N127" t="s">
        <v>682</v>
      </c>
    </row>
    <row r="128" spans="1:14" hidden="1" x14ac:dyDescent="0.25">
      <c r="A128" s="364" t="s">
        <v>434</v>
      </c>
      <c r="B128" t="s">
        <v>433</v>
      </c>
      <c r="C128" t="s">
        <v>947</v>
      </c>
      <c r="D128" s="363">
        <v>360</v>
      </c>
      <c r="E128" s="360"/>
      <c r="F128" s="363">
        <v>840</v>
      </c>
      <c r="G128" s="363"/>
      <c r="H128" s="363">
        <v>720</v>
      </c>
      <c r="I128" s="363"/>
      <c r="J128" s="363">
        <v>1920</v>
      </c>
      <c r="K128" s="361"/>
      <c r="N128" t="s">
        <v>947</v>
      </c>
    </row>
    <row r="129" spans="1:14" hidden="1" x14ac:dyDescent="0.25">
      <c r="A129" s="364" t="s">
        <v>436</v>
      </c>
      <c r="B129" t="s">
        <v>435</v>
      </c>
      <c r="C129" t="s">
        <v>948</v>
      </c>
      <c r="D129" s="363">
        <v>0</v>
      </c>
      <c r="E129" s="360"/>
      <c r="F129" s="363">
        <v>420</v>
      </c>
      <c r="G129" s="363"/>
      <c r="H129" s="363">
        <v>360</v>
      </c>
      <c r="I129" s="363"/>
      <c r="J129" s="363">
        <v>780</v>
      </c>
      <c r="K129" s="361"/>
      <c r="N129" t="s">
        <v>948</v>
      </c>
    </row>
    <row r="130" spans="1:14" hidden="1" x14ac:dyDescent="0.25">
      <c r="A130" s="364" t="s">
        <v>438</v>
      </c>
      <c r="B130" t="s">
        <v>684</v>
      </c>
      <c r="C130" t="s">
        <v>684</v>
      </c>
      <c r="D130" s="363">
        <v>360</v>
      </c>
      <c r="E130" s="360"/>
      <c r="F130" s="363">
        <v>210</v>
      </c>
      <c r="G130" s="363"/>
      <c r="H130" s="363">
        <v>180</v>
      </c>
      <c r="I130" s="363"/>
      <c r="J130" s="363">
        <v>750</v>
      </c>
      <c r="K130" s="361"/>
      <c r="N130" t="s">
        <v>684</v>
      </c>
    </row>
    <row r="131" spans="1:14" hidden="1" x14ac:dyDescent="0.25">
      <c r="A131" s="364" t="s">
        <v>440</v>
      </c>
      <c r="B131" t="s">
        <v>439</v>
      </c>
      <c r="C131" t="s">
        <v>949</v>
      </c>
      <c r="D131" s="363">
        <v>0</v>
      </c>
      <c r="E131" s="360"/>
      <c r="F131" s="363">
        <v>0</v>
      </c>
      <c r="G131" s="363"/>
      <c r="H131" s="363">
        <v>0</v>
      </c>
      <c r="I131" s="363"/>
      <c r="J131" s="363">
        <v>0</v>
      </c>
      <c r="K131" s="361"/>
      <c r="N131" t="s">
        <v>949</v>
      </c>
    </row>
    <row r="132" spans="1:14" hidden="1" x14ac:dyDescent="0.25">
      <c r="A132" s="364" t="s">
        <v>444</v>
      </c>
      <c r="B132" t="s">
        <v>443</v>
      </c>
      <c r="C132" t="s">
        <v>950</v>
      </c>
      <c r="D132" s="363">
        <v>180</v>
      </c>
      <c r="E132" s="360"/>
      <c r="F132" s="363">
        <v>0</v>
      </c>
      <c r="G132" s="363"/>
      <c r="H132" s="363">
        <v>0</v>
      </c>
      <c r="I132" s="363"/>
      <c r="J132" s="363">
        <v>180</v>
      </c>
      <c r="K132" s="361"/>
      <c r="N132" t="s">
        <v>950</v>
      </c>
    </row>
    <row r="133" spans="1:14" hidden="1" x14ac:dyDescent="0.25">
      <c r="A133" s="364" t="s">
        <v>446</v>
      </c>
      <c r="B133" t="s">
        <v>445</v>
      </c>
      <c r="C133" t="s">
        <v>951</v>
      </c>
      <c r="D133" s="363">
        <v>360</v>
      </c>
      <c r="E133" s="360"/>
      <c r="F133" s="363">
        <v>420</v>
      </c>
      <c r="G133" s="363"/>
      <c r="H133" s="363">
        <v>360</v>
      </c>
      <c r="I133" s="363"/>
      <c r="J133" s="363">
        <v>1140</v>
      </c>
      <c r="K133" s="361"/>
      <c r="N133" t="s">
        <v>951</v>
      </c>
    </row>
    <row r="134" spans="1:14" hidden="1" x14ac:dyDescent="0.25">
      <c r="A134" s="364" t="s">
        <v>448</v>
      </c>
      <c r="B134" t="s">
        <v>447</v>
      </c>
      <c r="C134" t="s">
        <v>952</v>
      </c>
      <c r="D134" s="363">
        <v>0</v>
      </c>
      <c r="E134" s="360"/>
      <c r="F134" s="363">
        <v>0</v>
      </c>
      <c r="G134" s="363"/>
      <c r="H134" s="363">
        <v>0</v>
      </c>
      <c r="I134" s="363"/>
      <c r="J134" s="363">
        <v>0</v>
      </c>
      <c r="K134" s="361"/>
      <c r="N134" t="s">
        <v>952</v>
      </c>
    </row>
    <row r="135" spans="1:14" hidden="1" x14ac:dyDescent="0.25">
      <c r="A135" s="364" t="s">
        <v>449</v>
      </c>
      <c r="B135">
        <v>206046</v>
      </c>
      <c r="C135" t="s">
        <v>953</v>
      </c>
      <c r="D135" s="363">
        <v>540</v>
      </c>
      <c r="E135" s="360"/>
      <c r="F135" s="363">
        <v>630</v>
      </c>
      <c r="G135" s="363"/>
      <c r="H135" s="363">
        <v>540</v>
      </c>
      <c r="I135" s="363"/>
      <c r="J135" s="363">
        <v>1710</v>
      </c>
      <c r="K135" s="361"/>
      <c r="N135" t="s">
        <v>953</v>
      </c>
    </row>
    <row r="136" spans="1:14" x14ac:dyDescent="0.25">
      <c r="A136" s="364" t="s">
        <v>451</v>
      </c>
      <c r="B136" t="s">
        <v>954</v>
      </c>
      <c r="C136" t="s">
        <v>954</v>
      </c>
      <c r="D136" s="363">
        <v>180</v>
      </c>
      <c r="E136" s="360"/>
      <c r="F136" s="363">
        <v>210</v>
      </c>
      <c r="G136" s="363"/>
      <c r="H136" s="363">
        <v>180</v>
      </c>
      <c r="I136" s="363"/>
      <c r="J136" s="363">
        <v>570</v>
      </c>
      <c r="K136" s="361"/>
      <c r="N136" t="s">
        <v>954</v>
      </c>
    </row>
    <row r="137" spans="1:14" hidden="1" x14ac:dyDescent="0.25">
      <c r="A137" s="364" t="s">
        <v>453</v>
      </c>
      <c r="B137" t="s">
        <v>452</v>
      </c>
      <c r="C137" t="s">
        <v>955</v>
      </c>
      <c r="D137" s="363">
        <v>540</v>
      </c>
      <c r="E137" s="360"/>
      <c r="F137" s="363">
        <v>630</v>
      </c>
      <c r="G137" s="363"/>
      <c r="H137" s="363">
        <v>540</v>
      </c>
      <c r="I137" s="363"/>
      <c r="J137" s="363">
        <v>1710</v>
      </c>
      <c r="K137" s="361"/>
      <c r="N137" t="s">
        <v>955</v>
      </c>
    </row>
    <row r="138" spans="1:14" x14ac:dyDescent="0.25">
      <c r="A138" s="364" t="s">
        <v>1070</v>
      </c>
      <c r="B138">
        <v>639251</v>
      </c>
      <c r="C138">
        <v>639251</v>
      </c>
      <c r="D138" s="363">
        <v>0</v>
      </c>
      <c r="E138" s="360"/>
      <c r="F138" s="363">
        <v>420</v>
      </c>
      <c r="G138" s="363"/>
      <c r="H138" s="363">
        <v>360</v>
      </c>
      <c r="I138" s="363"/>
      <c r="J138" s="363">
        <v>780</v>
      </c>
      <c r="K138" s="361"/>
      <c r="N138">
        <v>639251</v>
      </c>
    </row>
    <row r="139" spans="1:14" hidden="1" x14ac:dyDescent="0.25">
      <c r="A139" s="364" t="s">
        <v>457</v>
      </c>
      <c r="B139">
        <v>205978</v>
      </c>
      <c r="C139" t="s">
        <v>956</v>
      </c>
      <c r="D139" s="363">
        <v>636</v>
      </c>
      <c r="E139" s="360"/>
      <c r="F139" s="363">
        <v>1351</v>
      </c>
      <c r="G139" s="363"/>
      <c r="H139" s="363">
        <v>1158</v>
      </c>
      <c r="I139" s="363"/>
      <c r="J139" s="363">
        <v>3145</v>
      </c>
      <c r="K139" s="361"/>
      <c r="N139" t="s">
        <v>956</v>
      </c>
    </row>
    <row r="140" spans="1:14" x14ac:dyDescent="0.25">
      <c r="A140" s="364" t="s">
        <v>957</v>
      </c>
      <c r="B140" t="s">
        <v>958</v>
      </c>
      <c r="C140" t="s">
        <v>958</v>
      </c>
      <c r="D140" s="363">
        <v>180</v>
      </c>
      <c r="E140" s="360"/>
      <c r="F140" s="363">
        <v>210</v>
      </c>
      <c r="G140" s="363"/>
      <c r="H140" s="363">
        <v>180</v>
      </c>
      <c r="I140" s="363"/>
      <c r="J140" s="363">
        <v>570</v>
      </c>
      <c r="K140" s="361"/>
      <c r="N140" t="s">
        <v>958</v>
      </c>
    </row>
    <row r="141" spans="1:14" x14ac:dyDescent="0.25">
      <c r="A141" s="364" t="s">
        <v>460</v>
      </c>
      <c r="B141" t="s">
        <v>959</v>
      </c>
      <c r="C141" t="s">
        <v>959</v>
      </c>
      <c r="D141" s="363">
        <v>288</v>
      </c>
      <c r="E141" s="360"/>
      <c r="F141" s="363">
        <v>126</v>
      </c>
      <c r="G141" s="363"/>
      <c r="H141" s="363">
        <v>108</v>
      </c>
      <c r="I141" s="363"/>
      <c r="J141" s="363">
        <v>522</v>
      </c>
      <c r="K141" s="361"/>
      <c r="N141" t="s">
        <v>959</v>
      </c>
    </row>
    <row r="142" spans="1:14" x14ac:dyDescent="0.25">
      <c r="A142" s="364" t="s">
        <v>1071</v>
      </c>
      <c r="B142" s="393" t="s">
        <v>1072</v>
      </c>
      <c r="C142" s="393" t="s">
        <v>1072</v>
      </c>
      <c r="D142" s="363">
        <v>360</v>
      </c>
      <c r="E142" s="360"/>
      <c r="F142" s="363">
        <v>210</v>
      </c>
      <c r="G142" s="363"/>
      <c r="H142" s="363">
        <v>180</v>
      </c>
      <c r="I142" s="363"/>
      <c r="J142" s="363">
        <v>750</v>
      </c>
      <c r="K142" s="361"/>
      <c r="N142" t="s">
        <v>1072</v>
      </c>
    </row>
    <row r="143" spans="1:14" hidden="1" x14ac:dyDescent="0.25">
      <c r="A143" s="364" t="s">
        <v>461</v>
      </c>
      <c r="B143">
        <v>206043</v>
      </c>
      <c r="C143" t="s">
        <v>960</v>
      </c>
      <c r="D143" s="363">
        <v>882</v>
      </c>
      <c r="E143" s="360"/>
      <c r="F143" s="363">
        <v>965</v>
      </c>
      <c r="G143" s="363"/>
      <c r="H143" s="363">
        <v>827.14285714285711</v>
      </c>
      <c r="I143" s="363"/>
      <c r="J143" s="363">
        <v>2674.1428571428569</v>
      </c>
      <c r="K143" s="361"/>
      <c r="N143" t="s">
        <v>960</v>
      </c>
    </row>
    <row r="144" spans="1:14" hidden="1" x14ac:dyDescent="0.25">
      <c r="A144" s="364" t="s">
        <v>463</v>
      </c>
      <c r="B144" t="s">
        <v>462</v>
      </c>
      <c r="C144" t="s">
        <v>961</v>
      </c>
      <c r="D144" s="363">
        <v>0</v>
      </c>
      <c r="E144" s="360"/>
      <c r="F144" s="363">
        <v>210</v>
      </c>
      <c r="G144" s="363"/>
      <c r="H144" s="363">
        <v>180</v>
      </c>
      <c r="I144" s="363"/>
      <c r="J144" s="363">
        <v>390</v>
      </c>
      <c r="K144" s="361"/>
      <c r="N144" t="s">
        <v>961</v>
      </c>
    </row>
    <row r="145" spans="1:14" hidden="1" x14ac:dyDescent="0.25">
      <c r="A145" s="364" t="s">
        <v>466</v>
      </c>
      <c r="B145" t="s">
        <v>465</v>
      </c>
      <c r="C145" t="s">
        <v>962</v>
      </c>
      <c r="D145" s="363">
        <v>0</v>
      </c>
      <c r="E145" s="360"/>
      <c r="F145" s="363">
        <v>210</v>
      </c>
      <c r="G145" s="363"/>
      <c r="H145" s="363">
        <v>180</v>
      </c>
      <c r="I145" s="363"/>
      <c r="J145" s="363">
        <v>390</v>
      </c>
      <c r="K145" s="361"/>
      <c r="N145" t="s">
        <v>962</v>
      </c>
    </row>
    <row r="146" spans="1:14" hidden="1" x14ac:dyDescent="0.25">
      <c r="A146" s="364" t="s">
        <v>468</v>
      </c>
      <c r="B146" t="s">
        <v>467</v>
      </c>
      <c r="C146" t="s">
        <v>963</v>
      </c>
      <c r="D146" s="363">
        <v>0</v>
      </c>
      <c r="E146" s="360"/>
      <c r="F146" s="363">
        <v>0</v>
      </c>
      <c r="G146" s="363"/>
      <c r="H146" s="363">
        <v>0</v>
      </c>
      <c r="I146" s="363"/>
      <c r="J146" s="363">
        <v>0</v>
      </c>
      <c r="K146" s="361"/>
      <c r="N146" t="s">
        <v>963</v>
      </c>
    </row>
    <row r="147" spans="1:14" hidden="1" x14ac:dyDescent="0.25">
      <c r="A147" s="364" t="s">
        <v>470</v>
      </c>
      <c r="B147" t="s">
        <v>469</v>
      </c>
      <c r="C147" t="s">
        <v>964</v>
      </c>
      <c r="D147" s="363">
        <v>360</v>
      </c>
      <c r="E147" s="360"/>
      <c r="F147" s="363">
        <v>420</v>
      </c>
      <c r="G147" s="363"/>
      <c r="H147" s="363">
        <v>360</v>
      </c>
      <c r="I147" s="363"/>
      <c r="J147" s="363">
        <v>1140</v>
      </c>
      <c r="K147" s="361"/>
      <c r="N147" t="s">
        <v>964</v>
      </c>
    </row>
    <row r="148" spans="1:14" hidden="1" x14ac:dyDescent="0.25">
      <c r="A148" s="364" t="s">
        <v>472</v>
      </c>
      <c r="B148" t="s">
        <v>471</v>
      </c>
      <c r="C148" t="s">
        <v>965</v>
      </c>
      <c r="D148" s="363">
        <v>180</v>
      </c>
      <c r="E148" s="360"/>
      <c r="F148" s="363">
        <v>0</v>
      </c>
      <c r="G148" s="363"/>
      <c r="H148" s="363">
        <v>0</v>
      </c>
      <c r="I148" s="363"/>
      <c r="J148" s="363">
        <v>180</v>
      </c>
      <c r="K148" s="361"/>
      <c r="N148" t="s">
        <v>965</v>
      </c>
    </row>
    <row r="149" spans="1:14" hidden="1" x14ac:dyDescent="0.25">
      <c r="A149" s="364" t="s">
        <v>474</v>
      </c>
      <c r="B149" t="s">
        <v>473</v>
      </c>
      <c r="C149" t="s">
        <v>966</v>
      </c>
      <c r="D149" s="363">
        <v>180</v>
      </c>
      <c r="E149" s="360"/>
      <c r="F149" s="363">
        <v>420</v>
      </c>
      <c r="G149" s="363"/>
      <c r="H149" s="363">
        <v>360</v>
      </c>
      <c r="I149" s="363"/>
      <c r="J149" s="363">
        <v>960</v>
      </c>
      <c r="K149" s="361"/>
      <c r="N149" t="s">
        <v>966</v>
      </c>
    </row>
    <row r="150" spans="1:14" hidden="1" x14ac:dyDescent="0.25">
      <c r="A150" s="364" t="s">
        <v>476</v>
      </c>
      <c r="B150" t="s">
        <v>475</v>
      </c>
      <c r="C150" t="s">
        <v>967</v>
      </c>
      <c r="D150" s="363">
        <v>360</v>
      </c>
      <c r="E150" s="360"/>
      <c r="F150" s="363">
        <v>210</v>
      </c>
      <c r="G150" s="363"/>
      <c r="H150" s="363">
        <v>180</v>
      </c>
      <c r="I150" s="363"/>
      <c r="J150" s="363">
        <v>750</v>
      </c>
      <c r="K150" s="361"/>
      <c r="N150" t="s">
        <v>967</v>
      </c>
    </row>
    <row r="151" spans="1:14" hidden="1" x14ac:dyDescent="0.25">
      <c r="A151" s="364" t="s">
        <v>478</v>
      </c>
      <c r="B151" t="s">
        <v>477</v>
      </c>
      <c r="C151" t="s">
        <v>968</v>
      </c>
      <c r="D151" s="363">
        <v>720</v>
      </c>
      <c r="E151" s="360"/>
      <c r="F151" s="363">
        <v>420</v>
      </c>
      <c r="G151" s="363"/>
      <c r="H151" s="363">
        <v>360</v>
      </c>
      <c r="I151" s="363"/>
      <c r="J151" s="363">
        <v>1500</v>
      </c>
      <c r="K151" s="361"/>
      <c r="N151" t="s">
        <v>968</v>
      </c>
    </row>
    <row r="152" spans="1:14" hidden="1" x14ac:dyDescent="0.25">
      <c r="A152" s="364" t="s">
        <v>480</v>
      </c>
      <c r="B152" t="s">
        <v>479</v>
      </c>
      <c r="C152" t="s">
        <v>969</v>
      </c>
      <c r="D152" s="363">
        <v>360</v>
      </c>
      <c r="E152" s="360"/>
      <c r="F152" s="363">
        <v>420</v>
      </c>
      <c r="G152" s="363"/>
      <c r="H152" s="363">
        <v>360</v>
      </c>
      <c r="I152" s="363"/>
      <c r="J152" s="363">
        <v>1140</v>
      </c>
      <c r="K152" s="361"/>
      <c r="N152" t="s">
        <v>969</v>
      </c>
    </row>
    <row r="153" spans="1:14" hidden="1" x14ac:dyDescent="0.25">
      <c r="A153" s="364" t="s">
        <v>482</v>
      </c>
      <c r="B153" t="s">
        <v>481</v>
      </c>
      <c r="C153" t="s">
        <v>972</v>
      </c>
      <c r="D153" s="363">
        <v>0</v>
      </c>
      <c r="E153" s="360"/>
      <c r="F153" s="363">
        <v>0</v>
      </c>
      <c r="G153" s="363"/>
      <c r="H153" s="363">
        <v>0</v>
      </c>
      <c r="I153" s="363"/>
      <c r="J153" s="363">
        <v>0</v>
      </c>
      <c r="K153" s="361"/>
      <c r="N153" t="s">
        <v>972</v>
      </c>
    </row>
    <row r="154" spans="1:14" hidden="1" x14ac:dyDescent="0.25">
      <c r="A154" s="364" t="s">
        <v>484</v>
      </c>
      <c r="B154" t="s">
        <v>483</v>
      </c>
      <c r="C154" t="s">
        <v>973</v>
      </c>
      <c r="D154" s="363">
        <v>970.26</v>
      </c>
      <c r="E154" s="360"/>
      <c r="F154" s="363">
        <v>1176</v>
      </c>
      <c r="G154" s="363"/>
      <c r="H154" s="363">
        <v>1008</v>
      </c>
      <c r="I154" s="363"/>
      <c r="J154" s="363">
        <v>3154.26</v>
      </c>
      <c r="K154" s="361"/>
      <c r="N154" t="s">
        <v>973</v>
      </c>
    </row>
    <row r="155" spans="1:14" hidden="1" x14ac:dyDescent="0.25">
      <c r="A155" s="364" t="s">
        <v>486</v>
      </c>
      <c r="B155" t="s">
        <v>485</v>
      </c>
      <c r="C155" t="s">
        <v>974</v>
      </c>
      <c r="D155" s="363">
        <v>1080</v>
      </c>
      <c r="E155" s="360"/>
      <c r="F155" s="363">
        <v>750</v>
      </c>
      <c r="G155" s="363"/>
      <c r="H155" s="363">
        <v>642.85714285714289</v>
      </c>
      <c r="I155" s="363"/>
      <c r="J155" s="363">
        <v>2472.8571428571431</v>
      </c>
      <c r="K155" s="361"/>
      <c r="N155" t="s">
        <v>974</v>
      </c>
    </row>
    <row r="156" spans="1:14" hidden="1" x14ac:dyDescent="0.25">
      <c r="A156" s="364" t="s">
        <v>488</v>
      </c>
      <c r="B156" t="s">
        <v>487</v>
      </c>
      <c r="C156" t="s">
        <v>975</v>
      </c>
      <c r="D156" s="363">
        <v>180</v>
      </c>
      <c r="E156" s="360"/>
      <c r="F156" s="363">
        <v>210</v>
      </c>
      <c r="G156" s="363"/>
      <c r="H156" s="363">
        <v>180</v>
      </c>
      <c r="I156" s="363"/>
      <c r="J156" s="363">
        <v>570</v>
      </c>
      <c r="K156" s="361"/>
      <c r="N156" t="s">
        <v>975</v>
      </c>
    </row>
    <row r="157" spans="1:14" hidden="1" x14ac:dyDescent="0.25">
      <c r="A157" s="364" t="s">
        <v>492</v>
      </c>
      <c r="B157" t="s">
        <v>491</v>
      </c>
      <c r="C157" t="s">
        <v>976</v>
      </c>
      <c r="D157" s="363">
        <v>0</v>
      </c>
      <c r="E157" s="360"/>
      <c r="F157" s="363">
        <v>0</v>
      </c>
      <c r="G157" s="363"/>
      <c r="H157" s="363">
        <v>0</v>
      </c>
      <c r="I157" s="363"/>
      <c r="J157" s="363">
        <v>0</v>
      </c>
      <c r="K157" s="361"/>
      <c r="N157" t="s">
        <v>976</v>
      </c>
    </row>
    <row r="158" spans="1:14" hidden="1" x14ac:dyDescent="0.25">
      <c r="A158" s="364" t="s">
        <v>494</v>
      </c>
      <c r="B158" t="s">
        <v>493</v>
      </c>
      <c r="C158" t="s">
        <v>977</v>
      </c>
      <c r="D158" s="363">
        <v>1800</v>
      </c>
      <c r="E158" s="360"/>
      <c r="F158" s="363">
        <v>2310</v>
      </c>
      <c r="G158" s="363"/>
      <c r="H158" s="363">
        <v>1980</v>
      </c>
      <c r="I158" s="363"/>
      <c r="J158" s="363">
        <v>6090</v>
      </c>
      <c r="K158" s="361"/>
      <c r="N158" t="s">
        <v>977</v>
      </c>
    </row>
    <row r="159" spans="1:14" hidden="1" x14ac:dyDescent="0.25">
      <c r="A159" s="364" t="s">
        <v>495</v>
      </c>
      <c r="B159">
        <v>206106</v>
      </c>
      <c r="C159" t="s">
        <v>978</v>
      </c>
      <c r="D159" s="363">
        <v>2517.92</v>
      </c>
      <c r="E159" s="360"/>
      <c r="F159" s="363">
        <v>2686.0800000000004</v>
      </c>
      <c r="G159" s="363"/>
      <c r="H159" s="363">
        <v>2302.3542857142861</v>
      </c>
      <c r="I159" s="363"/>
      <c r="J159" s="363">
        <v>7506.3542857142857</v>
      </c>
      <c r="K159" s="361"/>
      <c r="N159" t="s">
        <v>978</v>
      </c>
    </row>
    <row r="160" spans="1:14" hidden="1" x14ac:dyDescent="0.25">
      <c r="A160" s="364" t="s">
        <v>499</v>
      </c>
      <c r="B160" t="s">
        <v>498</v>
      </c>
      <c r="C160" t="s">
        <v>979</v>
      </c>
      <c r="D160" s="363">
        <v>360</v>
      </c>
      <c r="E160" s="360"/>
      <c r="F160" s="363">
        <v>420</v>
      </c>
      <c r="G160" s="363"/>
      <c r="H160" s="363">
        <v>360</v>
      </c>
      <c r="I160" s="363"/>
      <c r="J160" s="363">
        <v>1140</v>
      </c>
      <c r="K160" s="361"/>
      <c r="N160" t="s">
        <v>979</v>
      </c>
    </row>
    <row r="161" spans="1:14" hidden="1" x14ac:dyDescent="0.25">
      <c r="A161" s="364" t="s">
        <v>501</v>
      </c>
      <c r="B161" t="s">
        <v>500</v>
      </c>
      <c r="C161" t="s">
        <v>980</v>
      </c>
      <c r="D161" s="363">
        <v>360</v>
      </c>
      <c r="E161" s="360"/>
      <c r="F161" s="363">
        <v>1641</v>
      </c>
      <c r="G161" s="363"/>
      <c r="H161" s="363">
        <v>1406.5714285714284</v>
      </c>
      <c r="I161" s="363"/>
      <c r="J161" s="363">
        <v>3407.5714285714284</v>
      </c>
      <c r="K161" s="361"/>
      <c r="N161" t="s">
        <v>980</v>
      </c>
    </row>
    <row r="162" spans="1:14" hidden="1" x14ac:dyDescent="0.25">
      <c r="A162" s="364" t="s">
        <v>503</v>
      </c>
      <c r="B162" t="s">
        <v>502</v>
      </c>
      <c r="C162" t="s">
        <v>981</v>
      </c>
      <c r="D162" s="363">
        <v>1080</v>
      </c>
      <c r="E162" s="360"/>
      <c r="F162" s="363">
        <v>2048</v>
      </c>
      <c r="G162" s="363"/>
      <c r="H162" s="363">
        <v>1755.4285714285713</v>
      </c>
      <c r="I162" s="363"/>
      <c r="J162" s="363">
        <v>4883.4285714285716</v>
      </c>
      <c r="K162" s="361"/>
      <c r="N162" t="s">
        <v>981</v>
      </c>
    </row>
    <row r="163" spans="1:14" x14ac:dyDescent="0.25">
      <c r="A163" s="364" t="s">
        <v>982</v>
      </c>
      <c r="B163" t="s">
        <v>983</v>
      </c>
      <c r="C163" t="s">
        <v>983</v>
      </c>
      <c r="D163" s="363">
        <v>3879.9</v>
      </c>
      <c r="E163" s="360"/>
      <c r="F163" s="363">
        <v>2956.8000000000006</v>
      </c>
      <c r="G163" s="363"/>
      <c r="H163" s="363">
        <v>2534.4000000000005</v>
      </c>
      <c r="I163" s="363"/>
      <c r="J163" s="363">
        <v>9371.1000000000022</v>
      </c>
      <c r="K163" s="361"/>
      <c r="N163" t="s">
        <v>983</v>
      </c>
    </row>
    <row r="164" spans="1:14" x14ac:dyDescent="0.25">
      <c r="A164" s="364" t="s">
        <v>1053</v>
      </c>
      <c r="B164" t="s">
        <v>1054</v>
      </c>
      <c r="C164" t="s">
        <v>1054</v>
      </c>
      <c r="D164" s="363">
        <v>540</v>
      </c>
      <c r="E164" s="360"/>
      <c r="F164" s="363">
        <v>178.88</v>
      </c>
      <c r="G164" s="363"/>
      <c r="H164" s="363">
        <v>153.3257142857143</v>
      </c>
      <c r="I164" s="363"/>
      <c r="J164" s="363">
        <v>872.20571428571429</v>
      </c>
      <c r="K164" s="361"/>
      <c r="N164" t="s">
        <v>1054</v>
      </c>
    </row>
    <row r="165" spans="1:14" hidden="1" x14ac:dyDescent="0.25">
      <c r="A165" s="364" t="s">
        <v>504</v>
      </c>
      <c r="B165">
        <v>206134</v>
      </c>
      <c r="C165" t="s">
        <v>984</v>
      </c>
      <c r="D165" s="363">
        <v>864</v>
      </c>
      <c r="E165" s="360"/>
      <c r="F165" s="363">
        <v>420</v>
      </c>
      <c r="G165" s="363"/>
      <c r="H165" s="363">
        <v>360</v>
      </c>
      <c r="I165" s="363"/>
      <c r="J165" s="363">
        <v>1644</v>
      </c>
      <c r="K165" s="361"/>
      <c r="N165" t="s">
        <v>984</v>
      </c>
    </row>
    <row r="166" spans="1:14" x14ac:dyDescent="0.25">
      <c r="A166" s="364" t="s">
        <v>985</v>
      </c>
      <c r="B166" t="s">
        <v>986</v>
      </c>
      <c r="C166" t="s">
        <v>986</v>
      </c>
      <c r="D166" s="363">
        <v>0</v>
      </c>
      <c r="E166" s="360"/>
      <c r="F166" s="363">
        <v>0</v>
      </c>
      <c r="G166" s="363"/>
      <c r="H166" s="363">
        <v>0</v>
      </c>
      <c r="I166" s="363"/>
      <c r="J166" s="363">
        <v>0</v>
      </c>
      <c r="K166" s="361"/>
      <c r="N166" t="s">
        <v>986</v>
      </c>
    </row>
    <row r="167" spans="1:14" hidden="1" x14ac:dyDescent="0.25">
      <c r="A167" s="364" t="s">
        <v>507</v>
      </c>
      <c r="B167">
        <v>206109</v>
      </c>
      <c r="C167" t="s">
        <v>987</v>
      </c>
      <c r="D167" s="363">
        <v>2136.8000000000002</v>
      </c>
      <c r="E167" s="360"/>
      <c r="F167" s="363">
        <v>2984.2400000000007</v>
      </c>
      <c r="G167" s="363"/>
      <c r="H167" s="363">
        <v>2557.9200000000005</v>
      </c>
      <c r="I167" s="363"/>
      <c r="J167" s="363">
        <v>7678.9600000000009</v>
      </c>
      <c r="K167" s="361"/>
      <c r="N167" t="s">
        <v>987</v>
      </c>
    </row>
    <row r="168" spans="1:14" hidden="1" x14ac:dyDescent="0.25">
      <c r="A168" s="364" t="s">
        <v>517</v>
      </c>
      <c r="B168" t="s">
        <v>516</v>
      </c>
      <c r="C168" t="s">
        <v>988</v>
      </c>
      <c r="D168" s="363">
        <v>540</v>
      </c>
      <c r="E168" s="360"/>
      <c r="F168" s="363">
        <v>1050</v>
      </c>
      <c r="G168" s="363"/>
      <c r="H168" s="363">
        <v>900</v>
      </c>
      <c r="I168" s="363"/>
      <c r="J168" s="363">
        <v>2490</v>
      </c>
      <c r="K168" s="361"/>
      <c r="N168" t="s">
        <v>988</v>
      </c>
    </row>
    <row r="169" spans="1:14" hidden="1" x14ac:dyDescent="0.25">
      <c r="A169" s="364" t="s">
        <v>510</v>
      </c>
      <c r="B169" t="s">
        <v>509</v>
      </c>
      <c r="C169" t="s">
        <v>989</v>
      </c>
      <c r="D169" s="363">
        <v>4835.2</v>
      </c>
      <c r="E169" s="360"/>
      <c r="F169" s="363">
        <v>4410</v>
      </c>
      <c r="G169" s="363"/>
      <c r="H169" s="363">
        <v>3780</v>
      </c>
      <c r="I169" s="363"/>
      <c r="J169" s="363">
        <v>13025.2</v>
      </c>
      <c r="K169" s="361"/>
      <c r="N169" t="s">
        <v>989</v>
      </c>
    </row>
    <row r="170" spans="1:14" hidden="1" x14ac:dyDescent="0.25">
      <c r="A170" s="364" t="s">
        <v>512</v>
      </c>
      <c r="B170" t="s">
        <v>511</v>
      </c>
      <c r="C170" t="s">
        <v>990</v>
      </c>
      <c r="D170" s="363">
        <v>1274.52</v>
      </c>
      <c r="E170" s="360"/>
      <c r="F170" s="363">
        <v>2233</v>
      </c>
      <c r="G170" s="363"/>
      <c r="H170" s="363">
        <v>1914</v>
      </c>
      <c r="I170" s="363"/>
      <c r="J170" s="363">
        <v>5421.52</v>
      </c>
      <c r="K170" s="361"/>
      <c r="N170" t="s">
        <v>990</v>
      </c>
    </row>
    <row r="171" spans="1:14" x14ac:dyDescent="0.25">
      <c r="A171" s="364" t="s">
        <v>991</v>
      </c>
      <c r="B171" t="s">
        <v>992</v>
      </c>
      <c r="C171" t="s">
        <v>992</v>
      </c>
      <c r="D171" s="363">
        <v>180</v>
      </c>
      <c r="E171" s="360"/>
      <c r="F171" s="363">
        <v>840</v>
      </c>
      <c r="G171" s="363"/>
      <c r="H171" s="363">
        <v>720</v>
      </c>
      <c r="I171" s="363"/>
      <c r="J171" s="363">
        <v>1740</v>
      </c>
      <c r="K171" s="361"/>
      <c r="N171" t="s">
        <v>992</v>
      </c>
    </row>
    <row r="172" spans="1:14" hidden="1" x14ac:dyDescent="0.25">
      <c r="A172" s="364" t="s">
        <v>514</v>
      </c>
      <c r="B172" t="s">
        <v>513</v>
      </c>
      <c r="C172" t="s">
        <v>993</v>
      </c>
      <c r="D172" s="363">
        <v>992.64</v>
      </c>
      <c r="E172" s="360"/>
      <c r="F172" s="363">
        <v>2239</v>
      </c>
      <c r="G172" s="363"/>
      <c r="H172" s="363">
        <v>1919.1428571428569</v>
      </c>
      <c r="I172" s="363"/>
      <c r="J172" s="363">
        <v>5150.7828571428563</v>
      </c>
      <c r="K172" s="361"/>
      <c r="N172" t="s">
        <v>993</v>
      </c>
    </row>
    <row r="173" spans="1:14" hidden="1" x14ac:dyDescent="0.25">
      <c r="A173" s="364" t="s">
        <v>515</v>
      </c>
      <c r="B173">
        <v>509197</v>
      </c>
      <c r="C173" t="s">
        <v>994</v>
      </c>
      <c r="D173" s="363">
        <v>1398.4</v>
      </c>
      <c r="E173" s="360"/>
      <c r="F173" s="363">
        <v>1958.1799999999998</v>
      </c>
      <c r="G173" s="363"/>
      <c r="H173" s="363">
        <v>1678.4399999999996</v>
      </c>
      <c r="I173" s="363"/>
      <c r="J173" s="363">
        <v>5035.0199999999995</v>
      </c>
      <c r="K173" s="361"/>
      <c r="N173" t="s">
        <v>994</v>
      </c>
    </row>
    <row r="174" spans="1:14" hidden="1" x14ac:dyDescent="0.25">
      <c r="A174" s="364" t="s">
        <v>519</v>
      </c>
      <c r="B174" t="s">
        <v>518</v>
      </c>
      <c r="C174" t="s">
        <v>997</v>
      </c>
      <c r="D174" s="363">
        <v>360</v>
      </c>
      <c r="E174" s="360"/>
      <c r="F174" s="363">
        <v>825</v>
      </c>
      <c r="G174" s="363"/>
      <c r="H174" s="363">
        <v>707.14285714285711</v>
      </c>
      <c r="I174" s="363"/>
      <c r="J174" s="363">
        <v>1892.1428571428571</v>
      </c>
      <c r="K174" s="361"/>
      <c r="N174" t="s">
        <v>997</v>
      </c>
    </row>
    <row r="175" spans="1:14" hidden="1" x14ac:dyDescent="0.25">
      <c r="A175" s="364" t="s">
        <v>520</v>
      </c>
      <c r="B175">
        <v>206117</v>
      </c>
      <c r="C175" t="s">
        <v>998</v>
      </c>
      <c r="D175" s="363">
        <v>5220</v>
      </c>
      <c r="E175" s="360"/>
      <c r="F175" s="363">
        <v>7790</v>
      </c>
      <c r="G175" s="363"/>
      <c r="H175" s="363">
        <v>6677.1428571428569</v>
      </c>
      <c r="I175" s="363"/>
      <c r="J175" s="363">
        <v>19687.142857142855</v>
      </c>
      <c r="K175" s="361"/>
      <c r="N175" t="s">
        <v>998</v>
      </c>
    </row>
    <row r="176" spans="1:14" hidden="1" x14ac:dyDescent="0.25">
      <c r="A176" s="364" t="s">
        <v>521</v>
      </c>
      <c r="B176">
        <v>206141</v>
      </c>
      <c r="C176" t="s">
        <v>999</v>
      </c>
      <c r="D176" s="363">
        <v>252</v>
      </c>
      <c r="E176" s="360"/>
      <c r="F176" s="363">
        <v>2244</v>
      </c>
      <c r="G176" s="363"/>
      <c r="H176" s="363">
        <v>1923.4285714285713</v>
      </c>
      <c r="I176" s="363"/>
      <c r="J176" s="363">
        <v>4419.4285714285716</v>
      </c>
      <c r="K176" s="361"/>
      <c r="N176" t="s">
        <v>999</v>
      </c>
    </row>
    <row r="177" spans="1:14" hidden="1" x14ac:dyDescent="0.25">
      <c r="A177" s="364" t="s">
        <v>523</v>
      </c>
      <c r="B177" t="s">
        <v>522</v>
      </c>
      <c r="C177" t="s">
        <v>1000</v>
      </c>
      <c r="D177" s="363">
        <v>4860</v>
      </c>
      <c r="E177" s="360"/>
      <c r="F177" s="363">
        <v>5952</v>
      </c>
      <c r="G177" s="363"/>
      <c r="H177" s="363">
        <v>5101.7142857142862</v>
      </c>
      <c r="I177" s="363"/>
      <c r="J177" s="363">
        <v>15913.714285714286</v>
      </c>
      <c r="K177" s="361"/>
      <c r="N177" t="s">
        <v>1000</v>
      </c>
    </row>
    <row r="178" spans="1:14" hidden="1" x14ac:dyDescent="0.25">
      <c r="A178" s="364" t="s">
        <v>525</v>
      </c>
      <c r="B178" t="s">
        <v>524</v>
      </c>
      <c r="C178" t="s">
        <v>1001</v>
      </c>
      <c r="D178" s="363">
        <v>7513.8599999999942</v>
      </c>
      <c r="E178" s="360"/>
      <c r="F178" s="363">
        <v>6219.0399999999981</v>
      </c>
      <c r="G178" s="363"/>
      <c r="H178" s="363">
        <v>5330.6057142857126</v>
      </c>
      <c r="I178" s="363"/>
      <c r="J178" s="363">
        <v>19063.505714285704</v>
      </c>
      <c r="K178" s="361"/>
      <c r="N178" t="s">
        <v>1001</v>
      </c>
    </row>
    <row r="179" spans="1:14" hidden="1" x14ac:dyDescent="0.25">
      <c r="A179" s="364" t="s">
        <v>526</v>
      </c>
      <c r="B179">
        <v>258408</v>
      </c>
      <c r="C179" t="s">
        <v>1002</v>
      </c>
      <c r="D179" s="363">
        <v>1080</v>
      </c>
      <c r="E179" s="360"/>
      <c r="F179" s="363">
        <v>2055</v>
      </c>
      <c r="G179" s="363"/>
      <c r="H179" s="363">
        <v>1761.4285714285713</v>
      </c>
      <c r="I179" s="363"/>
      <c r="J179" s="363">
        <v>4896.4285714285716</v>
      </c>
      <c r="K179" s="361"/>
      <c r="N179" t="s">
        <v>1002</v>
      </c>
    </row>
    <row r="180" spans="1:14" hidden="1" x14ac:dyDescent="0.25">
      <c r="A180" s="364" t="s">
        <v>527</v>
      </c>
      <c r="B180">
        <v>258406</v>
      </c>
      <c r="C180" t="s">
        <v>1003</v>
      </c>
      <c r="D180" s="363">
        <v>359.96000000000004</v>
      </c>
      <c r="E180" s="360"/>
      <c r="F180" s="363">
        <v>1135.43</v>
      </c>
      <c r="G180" s="363"/>
      <c r="H180" s="363">
        <v>973.22571428571439</v>
      </c>
      <c r="I180" s="363"/>
      <c r="J180" s="363">
        <v>2468.6157142857146</v>
      </c>
      <c r="K180" s="361"/>
      <c r="N180" t="s">
        <v>1003</v>
      </c>
    </row>
    <row r="181" spans="1:14" x14ac:dyDescent="0.25">
      <c r="A181" s="364" t="s">
        <v>526</v>
      </c>
      <c r="B181" t="s">
        <v>1056</v>
      </c>
      <c r="C181" t="s">
        <v>1056</v>
      </c>
      <c r="D181" s="363">
        <v>3888.9700000000003</v>
      </c>
      <c r="E181" s="360"/>
      <c r="F181" s="363">
        <v>2983.1600000000003</v>
      </c>
      <c r="G181" s="363"/>
      <c r="H181" s="363">
        <v>2556.994285714286</v>
      </c>
      <c r="I181" s="363"/>
      <c r="J181" s="363">
        <v>9429.1242857142861</v>
      </c>
      <c r="K181" s="361"/>
      <c r="N181" t="s">
        <v>1056</v>
      </c>
    </row>
    <row r="182" spans="1:14" x14ac:dyDescent="0.25">
      <c r="A182" s="364" t="s">
        <v>528</v>
      </c>
      <c r="B182" s="381" t="s">
        <v>1004</v>
      </c>
      <c r="C182" s="381" t="s">
        <v>1004</v>
      </c>
      <c r="D182" s="363">
        <v>2522.39</v>
      </c>
      <c r="E182" s="360"/>
      <c r="F182" s="363">
        <v>2092.1600000000003</v>
      </c>
      <c r="G182" s="363"/>
      <c r="H182" s="363">
        <v>1793.2800000000002</v>
      </c>
      <c r="I182" s="363"/>
      <c r="J182" s="363">
        <v>6407.83</v>
      </c>
      <c r="K182" s="361"/>
      <c r="N182" t="s">
        <v>1004</v>
      </c>
    </row>
    <row r="183" spans="1:14" hidden="1" x14ac:dyDescent="0.25">
      <c r="A183" s="364" t="s">
        <v>530</v>
      </c>
      <c r="B183" t="s">
        <v>529</v>
      </c>
      <c r="C183" t="s">
        <v>1005</v>
      </c>
      <c r="D183" s="363">
        <v>0</v>
      </c>
      <c r="E183" s="360"/>
      <c r="F183" s="363">
        <v>630</v>
      </c>
      <c r="G183" s="363"/>
      <c r="H183" s="363">
        <v>540</v>
      </c>
      <c r="I183" s="363"/>
      <c r="J183" s="363">
        <v>1170</v>
      </c>
      <c r="K183" s="361"/>
      <c r="N183" t="s">
        <v>1005</v>
      </c>
    </row>
    <row r="184" spans="1:14" hidden="1" x14ac:dyDescent="0.25">
      <c r="A184" s="364" t="s">
        <v>531</v>
      </c>
      <c r="B184">
        <v>206146</v>
      </c>
      <c r="C184" t="s">
        <v>1006</v>
      </c>
      <c r="D184" s="363">
        <v>1775.9699999999998</v>
      </c>
      <c r="E184" s="360"/>
      <c r="F184" s="363">
        <v>903</v>
      </c>
      <c r="G184" s="363"/>
      <c r="H184" s="363">
        <v>774</v>
      </c>
      <c r="I184" s="363"/>
      <c r="J184" s="363">
        <v>3452.97</v>
      </c>
      <c r="K184" s="361"/>
      <c r="N184" t="s">
        <v>1006</v>
      </c>
    </row>
    <row r="185" spans="1:14" hidden="1" x14ac:dyDescent="0.25">
      <c r="A185" s="364" t="s">
        <v>533</v>
      </c>
      <c r="B185" t="s">
        <v>532</v>
      </c>
      <c r="C185" t="s">
        <v>1007</v>
      </c>
      <c r="D185" s="363">
        <v>925.2</v>
      </c>
      <c r="E185" s="360"/>
      <c r="F185" s="363">
        <v>210</v>
      </c>
      <c r="G185" s="363"/>
      <c r="H185" s="363">
        <v>180</v>
      </c>
      <c r="I185" s="363"/>
      <c r="J185" s="363">
        <v>1315.2</v>
      </c>
      <c r="K185" s="361"/>
      <c r="N185" t="s">
        <v>1007</v>
      </c>
    </row>
    <row r="186" spans="1:14" hidden="1" x14ac:dyDescent="0.25">
      <c r="A186" s="364" t="s">
        <v>534</v>
      </c>
      <c r="B186">
        <v>2534321</v>
      </c>
      <c r="C186" t="s">
        <v>1010</v>
      </c>
      <c r="D186" s="363">
        <v>3338.7</v>
      </c>
      <c r="E186" s="360"/>
      <c r="F186" s="363">
        <v>3780</v>
      </c>
      <c r="G186" s="363"/>
      <c r="H186" s="363">
        <v>3240</v>
      </c>
      <c r="I186" s="363"/>
      <c r="J186" s="363">
        <v>10358.700000000001</v>
      </c>
      <c r="K186" s="361"/>
      <c r="N186" t="s">
        <v>1010</v>
      </c>
    </row>
    <row r="187" spans="1:14" hidden="1" x14ac:dyDescent="0.25">
      <c r="A187" s="364" t="s">
        <v>536</v>
      </c>
      <c r="B187" t="s">
        <v>535</v>
      </c>
      <c r="C187" t="s">
        <v>1011</v>
      </c>
      <c r="D187" s="363">
        <v>5391</v>
      </c>
      <c r="E187" s="360"/>
      <c r="F187" s="363">
        <v>4794.8800000000019</v>
      </c>
      <c r="G187" s="363"/>
      <c r="H187" s="363">
        <v>4109.897142857144</v>
      </c>
      <c r="I187" s="363"/>
      <c r="J187" s="363">
        <v>14295.777142857145</v>
      </c>
      <c r="K187" s="361"/>
      <c r="N187" t="s">
        <v>1011</v>
      </c>
    </row>
    <row r="188" spans="1:14" hidden="1" x14ac:dyDescent="0.25">
      <c r="A188" s="364" t="s">
        <v>538</v>
      </c>
      <c r="B188" t="s">
        <v>537</v>
      </c>
      <c r="C188" t="s">
        <v>1012</v>
      </c>
      <c r="D188" s="363">
        <v>1080</v>
      </c>
      <c r="E188" s="360"/>
      <c r="F188" s="363">
        <v>1218</v>
      </c>
      <c r="G188" s="363"/>
      <c r="H188" s="363">
        <v>1044</v>
      </c>
      <c r="I188" s="363"/>
      <c r="J188" s="363">
        <v>3342</v>
      </c>
      <c r="K188" s="361"/>
      <c r="N188" t="s">
        <v>1012</v>
      </c>
    </row>
    <row r="189" spans="1:14" hidden="1" x14ac:dyDescent="0.25">
      <c r="A189" s="364" t="s">
        <v>540</v>
      </c>
      <c r="B189" t="s">
        <v>539</v>
      </c>
      <c r="C189" t="s">
        <v>1013</v>
      </c>
      <c r="D189" s="363">
        <v>506.15000000000009</v>
      </c>
      <c r="E189" s="360"/>
      <c r="F189" s="363">
        <v>1341.6</v>
      </c>
      <c r="G189" s="363"/>
      <c r="H189" s="363">
        <v>1149.9428571428571</v>
      </c>
      <c r="I189" s="363"/>
      <c r="J189" s="363">
        <v>2997.6928571428571</v>
      </c>
      <c r="K189" s="361"/>
      <c r="N189" t="s">
        <v>1013</v>
      </c>
    </row>
    <row r="190" spans="1:14" hidden="1" x14ac:dyDescent="0.25">
      <c r="A190" s="364" t="s">
        <v>542</v>
      </c>
      <c r="B190" t="s">
        <v>541</v>
      </c>
      <c r="C190" t="s">
        <v>1016</v>
      </c>
      <c r="D190" s="363">
        <v>2594.2399999999993</v>
      </c>
      <c r="E190" s="360"/>
      <c r="F190" s="363">
        <v>3107.4000000000005</v>
      </c>
      <c r="G190" s="363"/>
      <c r="H190" s="363">
        <v>2663.4857142857145</v>
      </c>
      <c r="I190" s="363"/>
      <c r="J190" s="363">
        <v>8365.1257142857139</v>
      </c>
      <c r="K190" s="361"/>
      <c r="N190" t="s">
        <v>1016</v>
      </c>
    </row>
    <row r="191" spans="1:14" hidden="1" x14ac:dyDescent="0.25">
      <c r="A191" s="364" t="s">
        <v>544</v>
      </c>
      <c r="B191" t="s">
        <v>543</v>
      </c>
      <c r="C191" t="s">
        <v>1017</v>
      </c>
      <c r="D191" s="363">
        <v>2082.6</v>
      </c>
      <c r="E191" s="360"/>
      <c r="F191" s="363">
        <v>1975.5231128404671</v>
      </c>
      <c r="G191" s="363"/>
      <c r="H191" s="363">
        <v>1693.3055252918289</v>
      </c>
      <c r="I191" s="363"/>
      <c r="J191" s="363">
        <v>5751.4286381322963</v>
      </c>
      <c r="K191" s="361"/>
      <c r="N191" t="s">
        <v>1017</v>
      </c>
    </row>
    <row r="192" spans="1:14" hidden="1" x14ac:dyDescent="0.25">
      <c r="A192" s="364" t="s">
        <v>546</v>
      </c>
      <c r="B192" t="s">
        <v>545</v>
      </c>
      <c r="C192" t="s">
        <v>1018</v>
      </c>
      <c r="D192" s="363">
        <v>180</v>
      </c>
      <c r="E192" s="360"/>
      <c r="F192" s="363">
        <v>840</v>
      </c>
      <c r="G192" s="363"/>
      <c r="H192" s="363">
        <v>720</v>
      </c>
      <c r="I192" s="363"/>
      <c r="J192" s="363">
        <v>1740</v>
      </c>
      <c r="K192" s="361"/>
      <c r="N192" t="s">
        <v>1018</v>
      </c>
    </row>
    <row r="193" spans="1:14" hidden="1" x14ac:dyDescent="0.25">
      <c r="A193" s="364" t="s">
        <v>548</v>
      </c>
      <c r="B193" t="s">
        <v>547</v>
      </c>
      <c r="C193" t="s">
        <v>1019</v>
      </c>
      <c r="D193" s="363">
        <v>354.78</v>
      </c>
      <c r="E193" s="360"/>
      <c r="F193" s="363">
        <v>1218</v>
      </c>
      <c r="G193" s="363"/>
      <c r="H193" s="363">
        <v>1044</v>
      </c>
      <c r="I193" s="363"/>
      <c r="J193" s="363">
        <v>2616.7799999999997</v>
      </c>
      <c r="K193" s="361"/>
      <c r="N193" t="s">
        <v>1019</v>
      </c>
    </row>
    <row r="194" spans="1:14" hidden="1" x14ac:dyDescent="0.25">
      <c r="A194" s="364" t="s">
        <v>550</v>
      </c>
      <c r="B194" t="s">
        <v>549</v>
      </c>
      <c r="C194" t="s">
        <v>1020</v>
      </c>
      <c r="D194" s="363">
        <v>1677</v>
      </c>
      <c r="E194" s="360"/>
      <c r="F194" s="363">
        <v>1138.4401297016861</v>
      </c>
      <c r="G194" s="363"/>
      <c r="H194" s="363">
        <v>975.80582545858817</v>
      </c>
      <c r="I194" s="363"/>
      <c r="J194" s="363">
        <v>3791.2459551602742</v>
      </c>
      <c r="K194" s="361"/>
      <c r="N194" t="s">
        <v>1020</v>
      </c>
    </row>
    <row r="195" spans="1:14" x14ac:dyDescent="0.25">
      <c r="A195" s="364" t="s">
        <v>1021</v>
      </c>
      <c r="B195" t="s">
        <v>1022</v>
      </c>
      <c r="C195" t="s">
        <v>1022</v>
      </c>
      <c r="D195" s="363">
        <v>180</v>
      </c>
      <c r="E195" s="360"/>
      <c r="F195" s="363">
        <v>798</v>
      </c>
      <c r="G195" s="363"/>
      <c r="H195" s="363">
        <v>684</v>
      </c>
      <c r="I195" s="363"/>
      <c r="J195" s="363">
        <v>1662</v>
      </c>
      <c r="K195" s="361"/>
      <c r="N195" t="s">
        <v>1022</v>
      </c>
    </row>
    <row r="196" spans="1:14" hidden="1" x14ac:dyDescent="0.25">
      <c r="A196" s="364" t="s">
        <v>553</v>
      </c>
      <c r="B196" t="s">
        <v>552</v>
      </c>
      <c r="C196" t="s">
        <v>1023</v>
      </c>
      <c r="D196" s="363">
        <v>3150</v>
      </c>
      <c r="E196" s="360"/>
      <c r="F196" s="363">
        <v>3590.8800518806747</v>
      </c>
      <c r="G196" s="363"/>
      <c r="H196" s="363">
        <v>3077.8971873262926</v>
      </c>
      <c r="I196" s="363"/>
      <c r="J196" s="363">
        <v>9818.7772392069674</v>
      </c>
      <c r="K196" s="361"/>
      <c r="N196" t="s">
        <v>1023</v>
      </c>
    </row>
    <row r="197" spans="1:14" x14ac:dyDescent="0.25">
      <c r="A197" s="364" t="s">
        <v>554</v>
      </c>
      <c r="B197" t="s">
        <v>1024</v>
      </c>
      <c r="C197" t="s">
        <v>1024</v>
      </c>
      <c r="D197" s="363">
        <v>1050.1400000000001</v>
      </c>
      <c r="E197" s="360"/>
      <c r="F197" s="363">
        <v>1912.3594293125809</v>
      </c>
      <c r="G197" s="363"/>
      <c r="H197" s="363">
        <v>1639.1652251250694</v>
      </c>
      <c r="I197" s="363"/>
      <c r="J197" s="363">
        <v>4601.6646544376508</v>
      </c>
      <c r="K197" s="361"/>
      <c r="N197" t="s">
        <v>1024</v>
      </c>
    </row>
    <row r="198" spans="1:14" hidden="1" x14ac:dyDescent="0.25">
      <c r="A198" s="364" t="s">
        <v>556</v>
      </c>
      <c r="B198" t="s">
        <v>555</v>
      </c>
      <c r="C198" t="s">
        <v>1025</v>
      </c>
      <c r="D198" s="363">
        <v>4491.8999999999996</v>
      </c>
      <c r="E198" s="360"/>
      <c r="F198" s="363">
        <v>4536</v>
      </c>
      <c r="G198" s="363"/>
      <c r="H198" s="363">
        <v>3888</v>
      </c>
      <c r="I198" s="363"/>
      <c r="J198" s="363">
        <v>12915.9</v>
      </c>
      <c r="K198" s="361"/>
      <c r="N198" t="s">
        <v>1025</v>
      </c>
    </row>
    <row r="199" spans="1:14" hidden="1" x14ac:dyDescent="0.25">
      <c r="A199" s="364" t="s">
        <v>557</v>
      </c>
      <c r="B199">
        <v>206103</v>
      </c>
      <c r="C199" t="s">
        <v>1026</v>
      </c>
      <c r="D199" s="363">
        <v>5842.35</v>
      </c>
      <c r="E199" s="360"/>
      <c r="F199" s="363">
        <v>7461</v>
      </c>
      <c r="G199" s="363"/>
      <c r="H199" s="363">
        <v>6395.1428571428569</v>
      </c>
      <c r="I199" s="363"/>
      <c r="J199" s="363">
        <v>19698.492857142857</v>
      </c>
      <c r="K199" s="361"/>
      <c r="N199" t="s">
        <v>1026</v>
      </c>
    </row>
    <row r="200" spans="1:14" hidden="1" x14ac:dyDescent="0.25">
      <c r="A200" s="364" t="s">
        <v>558</v>
      </c>
      <c r="B200">
        <v>2614882</v>
      </c>
      <c r="C200" t="s">
        <v>1027</v>
      </c>
      <c r="D200" s="363">
        <v>5619.9400000000014</v>
      </c>
      <c r="E200" s="360"/>
      <c r="F200" s="363">
        <v>4815.2000000000016</v>
      </c>
      <c r="G200" s="363"/>
      <c r="H200" s="363">
        <v>4127.3142857142866</v>
      </c>
      <c r="I200" s="363"/>
      <c r="J200" s="363">
        <v>14562.45428571429</v>
      </c>
      <c r="K200" s="361"/>
      <c r="N200" t="s">
        <v>1027</v>
      </c>
    </row>
    <row r="201" spans="1:14" hidden="1" x14ac:dyDescent="0.25">
      <c r="A201" s="364" t="s">
        <v>560</v>
      </c>
      <c r="B201" t="s">
        <v>559</v>
      </c>
      <c r="C201" t="s">
        <v>1028</v>
      </c>
      <c r="D201" s="363">
        <v>1080</v>
      </c>
      <c r="E201" s="360"/>
      <c r="F201" s="363">
        <v>2727.64</v>
      </c>
      <c r="G201" s="363"/>
      <c r="H201" s="363">
        <v>2337.977142857143</v>
      </c>
      <c r="I201" s="363"/>
      <c r="J201" s="363">
        <v>6145.6171428571433</v>
      </c>
      <c r="K201" s="361"/>
      <c r="N201" t="s">
        <v>1028</v>
      </c>
    </row>
    <row r="202" spans="1:14" hidden="1" x14ac:dyDescent="0.25">
      <c r="A202" s="364" t="s">
        <v>563</v>
      </c>
      <c r="B202">
        <v>2498864</v>
      </c>
      <c r="C202" t="s">
        <v>1029</v>
      </c>
      <c r="D202" s="363">
        <v>2160</v>
      </c>
      <c r="E202" s="360"/>
      <c r="F202" s="363">
        <v>2100</v>
      </c>
      <c r="G202" s="363"/>
      <c r="H202" s="363">
        <v>1800</v>
      </c>
      <c r="I202" s="363"/>
      <c r="J202" s="363">
        <v>6060</v>
      </c>
      <c r="K202" s="361"/>
      <c r="N202" t="s">
        <v>1029</v>
      </c>
    </row>
    <row r="203" spans="1:14" hidden="1" x14ac:dyDescent="0.25">
      <c r="A203" s="364" t="s">
        <v>565</v>
      </c>
      <c r="B203" t="s">
        <v>564</v>
      </c>
      <c r="C203" t="s">
        <v>1030</v>
      </c>
      <c r="D203" s="363">
        <v>1620</v>
      </c>
      <c r="E203" s="360"/>
      <c r="F203" s="363">
        <v>2345</v>
      </c>
      <c r="G203" s="363"/>
      <c r="H203" s="363">
        <v>2010</v>
      </c>
      <c r="I203" s="363"/>
      <c r="J203" s="363">
        <v>5975</v>
      </c>
      <c r="K203" s="361"/>
      <c r="N203" t="s">
        <v>1030</v>
      </c>
    </row>
    <row r="204" spans="1:14" x14ac:dyDescent="0.25">
      <c r="A204" s="364" t="s">
        <v>1031</v>
      </c>
      <c r="B204" t="s">
        <v>1032</v>
      </c>
      <c r="C204" t="s">
        <v>1032</v>
      </c>
      <c r="D204" s="363">
        <v>3211.9199999999992</v>
      </c>
      <c r="E204" s="360"/>
      <c r="F204" s="363">
        <v>3903.400000000001</v>
      </c>
      <c r="G204" s="363"/>
      <c r="H204" s="363">
        <v>3345.7714285714296</v>
      </c>
      <c r="I204" s="363"/>
      <c r="J204" s="363">
        <v>10461.09142857143</v>
      </c>
      <c r="K204" s="361"/>
      <c r="N204" t="s">
        <v>1032</v>
      </c>
    </row>
    <row r="205" spans="1:14" hidden="1" x14ac:dyDescent="0.25">
      <c r="A205" s="364" t="s">
        <v>568</v>
      </c>
      <c r="B205" t="s">
        <v>567</v>
      </c>
      <c r="C205" t="s">
        <v>1033</v>
      </c>
      <c r="D205" s="363">
        <v>6099.6</v>
      </c>
      <c r="E205" s="360"/>
      <c r="F205" s="363">
        <v>6820.0345525291841</v>
      </c>
      <c r="G205" s="363"/>
      <c r="H205" s="363">
        <v>5845.743902167872</v>
      </c>
      <c r="I205" s="363"/>
      <c r="J205" s="363">
        <v>18765.378454697056</v>
      </c>
      <c r="K205" s="361"/>
      <c r="N205" t="s">
        <v>1033</v>
      </c>
    </row>
    <row r="206" spans="1:14" hidden="1" x14ac:dyDescent="0.25">
      <c r="A206" s="364" t="s">
        <v>570</v>
      </c>
      <c r="B206" t="s">
        <v>569</v>
      </c>
      <c r="C206" t="s">
        <v>1034</v>
      </c>
      <c r="D206" s="363">
        <v>1152</v>
      </c>
      <c r="E206" s="360"/>
      <c r="F206" s="363">
        <v>2520</v>
      </c>
      <c r="G206" s="363"/>
      <c r="H206" s="363">
        <v>2160</v>
      </c>
      <c r="I206" s="363"/>
      <c r="J206" s="363">
        <v>5832</v>
      </c>
      <c r="K206" s="361"/>
      <c r="N206" t="s">
        <v>1034</v>
      </c>
    </row>
    <row r="207" spans="1:14" hidden="1" x14ac:dyDescent="0.25">
      <c r="A207" s="364" t="s">
        <v>572</v>
      </c>
      <c r="B207" t="s">
        <v>571</v>
      </c>
      <c r="C207" t="s">
        <v>1035</v>
      </c>
      <c r="D207" s="363">
        <v>5360.16</v>
      </c>
      <c r="E207" s="360"/>
      <c r="F207" s="363">
        <v>7290.8057587548656</v>
      </c>
      <c r="G207" s="363"/>
      <c r="H207" s="363">
        <v>6249.262078932743</v>
      </c>
      <c r="I207" s="363"/>
      <c r="J207" s="363">
        <v>18900.227837687606</v>
      </c>
      <c r="K207" s="361"/>
      <c r="N207" t="s">
        <v>1035</v>
      </c>
    </row>
    <row r="208" spans="1:14" hidden="1" x14ac:dyDescent="0.25">
      <c r="A208" s="364" t="s">
        <v>573</v>
      </c>
      <c r="B208">
        <v>2568273</v>
      </c>
      <c r="C208" t="s">
        <v>1036</v>
      </c>
      <c r="D208" s="363">
        <v>1737.9</v>
      </c>
      <c r="E208" s="360"/>
      <c r="F208" s="363">
        <v>630</v>
      </c>
      <c r="G208" s="363"/>
      <c r="H208" s="363">
        <v>540</v>
      </c>
      <c r="I208" s="363"/>
      <c r="J208" s="363">
        <v>2907.9</v>
      </c>
      <c r="K208" s="361"/>
      <c r="N208" t="s">
        <v>1036</v>
      </c>
    </row>
    <row r="209" spans="1:14" hidden="1" x14ac:dyDescent="0.25">
      <c r="A209" s="364" t="s">
        <v>574</v>
      </c>
      <c r="B209">
        <v>509204</v>
      </c>
      <c r="C209" t="s">
        <v>1037</v>
      </c>
      <c r="D209" s="363">
        <v>5283.91</v>
      </c>
      <c r="E209" s="360"/>
      <c r="F209" s="363">
        <v>4140.0800000000008</v>
      </c>
      <c r="G209" s="363"/>
      <c r="H209" s="363">
        <v>3548.6400000000012</v>
      </c>
      <c r="I209" s="363"/>
      <c r="J209" s="363">
        <v>12972.630000000003</v>
      </c>
      <c r="K209" s="361"/>
      <c r="N209" t="s">
        <v>1037</v>
      </c>
    </row>
    <row r="210" spans="1:14" hidden="1" x14ac:dyDescent="0.25">
      <c r="A210" s="364" t="s">
        <v>576</v>
      </c>
      <c r="B210" t="s">
        <v>575</v>
      </c>
      <c r="C210" t="s">
        <v>1038</v>
      </c>
      <c r="D210" s="363">
        <v>0</v>
      </c>
      <c r="E210" s="360"/>
      <c r="F210" s="363">
        <v>0</v>
      </c>
      <c r="G210" s="363"/>
      <c r="H210" s="363">
        <v>0</v>
      </c>
      <c r="I210" s="363"/>
      <c r="J210" s="363">
        <v>0</v>
      </c>
      <c r="K210" s="361"/>
      <c r="N210" t="s">
        <v>1038</v>
      </c>
    </row>
    <row r="211" spans="1:14" ht="15" thickBot="1" x14ac:dyDescent="0.4">
      <c r="A211" s="347" t="s">
        <v>604</v>
      </c>
      <c r="B211" s="348"/>
      <c r="C211" s="348"/>
      <c r="D211" s="370">
        <v>175497.05000000002</v>
      </c>
      <c r="E211" s="367">
        <v>0</v>
      </c>
      <c r="F211" s="370">
        <v>208468.61303501949</v>
      </c>
      <c r="G211" s="370">
        <v>0</v>
      </c>
      <c r="H211" s="370">
        <v>178687.38260144528</v>
      </c>
      <c r="I211" s="370">
        <v>0</v>
      </c>
      <c r="J211" s="370">
        <v>562653.04563646484</v>
      </c>
      <c r="K211" s="368">
        <v>0</v>
      </c>
      <c r="L211" s="348"/>
      <c r="M211" s="379"/>
      <c r="N211">
        <v>0</v>
      </c>
    </row>
    <row r="212" spans="1:14" ht="15.5" thickTop="1" thickBot="1" x14ac:dyDescent="0.4">
      <c r="A212" s="347" t="s">
        <v>1039</v>
      </c>
      <c r="B212" s="348"/>
      <c r="C212" s="348"/>
      <c r="D212" s="376">
        <v>974.98361111111114</v>
      </c>
      <c r="E212" s="367">
        <v>0</v>
      </c>
      <c r="F212" s="376">
        <v>992.70768111914037</v>
      </c>
      <c r="G212" s="376">
        <v>0</v>
      </c>
      <c r="H212" s="376">
        <v>992.70768111914037</v>
      </c>
      <c r="I212" s="376">
        <v>0</v>
      </c>
      <c r="J212" s="376">
        <v>3125.8502535359157</v>
      </c>
      <c r="K212" s="368">
        <v>0</v>
      </c>
      <c r="L212" s="348">
        <v>0</v>
      </c>
      <c r="M212" s="379"/>
    </row>
    <row r="213" spans="1:14" ht="13" thickTop="1" x14ac:dyDescent="0.25">
      <c r="D213" s="383">
        <v>175497.04999999996</v>
      </c>
      <c r="F213" s="383">
        <v>208468.61303502042</v>
      </c>
      <c r="G213" s="383"/>
      <c r="H213" s="383">
        <v>0</v>
      </c>
      <c r="J213" s="385"/>
      <c r="N213">
        <v>0</v>
      </c>
    </row>
    <row r="214" spans="1:14" ht="13" thickBot="1" x14ac:dyDescent="0.3">
      <c r="D214" s="384">
        <v>0</v>
      </c>
      <c r="F214" s="384">
        <v>9.3132257461547852E-10</v>
      </c>
      <c r="G214" s="383"/>
      <c r="H214" s="383">
        <v>-178687.38260144528</v>
      </c>
      <c r="N214">
        <v>0</v>
      </c>
    </row>
    <row r="215" spans="1:14" ht="43.5" x14ac:dyDescent="0.35">
      <c r="C215" s="338" t="s">
        <v>1059</v>
      </c>
      <c r="D215" s="394">
        <v>177629.1</v>
      </c>
      <c r="E215" s="394"/>
      <c r="F215" s="394">
        <v>348384.45600000001</v>
      </c>
      <c r="G215" s="394"/>
      <c r="H215" s="395">
        <v>273730.64399999997</v>
      </c>
      <c r="I215" s="396"/>
      <c r="J215" s="397">
        <v>799744.2</v>
      </c>
    </row>
    <row r="216" spans="1:14" ht="116.5" thickBot="1" x14ac:dyDescent="0.4">
      <c r="C216" s="388" t="s">
        <v>1073</v>
      </c>
      <c r="D216" s="398">
        <v>2132.0499999999884</v>
      </c>
      <c r="E216" s="398"/>
      <c r="F216" s="398">
        <v>139915.84296498052</v>
      </c>
      <c r="G216" s="398"/>
      <c r="H216" s="398">
        <v>95043.261398554692</v>
      </c>
      <c r="I216" s="377"/>
      <c r="J216" s="399">
        <v>237091.1543635352</v>
      </c>
    </row>
    <row r="217" spans="1:14" ht="14.5" x14ac:dyDescent="0.35">
      <c r="C217" s="379"/>
      <c r="D217" s="387"/>
      <c r="E217" s="387"/>
      <c r="F217" s="387"/>
      <c r="G217" s="387"/>
      <c r="H217" s="387"/>
      <c r="I217" s="387"/>
      <c r="J217" s="387"/>
    </row>
    <row r="218" spans="1:14" ht="14.5" x14ac:dyDescent="0.35">
      <c r="C218" s="400" t="s">
        <v>1074</v>
      </c>
      <c r="D218" s="387">
        <v>901.08349999999984</v>
      </c>
      <c r="E218" s="387"/>
      <c r="F218" s="387">
        <v>985.66261904762359</v>
      </c>
      <c r="G218" s="387"/>
      <c r="H218" s="387"/>
      <c r="I218" s="387"/>
      <c r="J218" s="387"/>
    </row>
    <row r="219" spans="1:14" ht="14.5" x14ac:dyDescent="0.35">
      <c r="C219" s="400" t="s">
        <v>1075</v>
      </c>
      <c r="D219" s="387">
        <v>974.98361111111092</v>
      </c>
      <c r="E219" s="387"/>
      <c r="F219" s="387">
        <v>992.70768111914481</v>
      </c>
      <c r="G219" s="387"/>
      <c r="H219" s="387"/>
      <c r="I219" s="387"/>
      <c r="J219" s="387"/>
    </row>
    <row r="220" spans="1:14" ht="14.5" x14ac:dyDescent="0.35">
      <c r="C220" s="379"/>
      <c r="D220" s="391"/>
      <c r="E220" s="391"/>
      <c r="F220" s="391"/>
      <c r="G220" s="391"/>
      <c r="H220" s="391"/>
      <c r="I220" s="391"/>
      <c r="J220" s="391"/>
    </row>
    <row r="221" spans="1:14" ht="13" x14ac:dyDescent="0.25">
      <c r="C221" s="401"/>
      <c r="D221" s="387"/>
      <c r="E221" s="387"/>
      <c r="F221" s="387">
        <v>7.0450620715212153</v>
      </c>
      <c r="G221" s="387"/>
      <c r="H221" s="387"/>
      <c r="I221" s="387"/>
      <c r="J221" s="387"/>
    </row>
  </sheetData>
  <autoFilter ref="A4:N216" xr:uid="{D5E55CD8-698C-45ED-B978-1AE5DA95019C}">
    <filterColumn colId="1">
      <filters blank="1"/>
    </filterColumn>
  </autoFilter>
  <mergeCells count="1">
    <mergeCell ref="D3:K3"/>
  </mergeCells>
  <conditionalFormatting sqref="B119:C119">
    <cfRule type="containsBlanks" dxfId="9" priority="1">
      <formula>LEN(TRIM(B119))=0</formula>
    </cfRule>
  </conditionalFormatting>
  <conditionalFormatting sqref="B142:C142">
    <cfRule type="containsBlanks" dxfId="8" priority="2">
      <formula>LEN(TRIM(B142))=0</formula>
    </cfRule>
  </conditionalFormatting>
  <conditionalFormatting sqref="B182:C182">
    <cfRule type="containsBlanks" dxfId="7" priority="3">
      <formula>LEN(TRIM(B182))=0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6C84A-0E20-4EEE-9200-B9380401005F}">
  <sheetPr codeName="Sheet18" filterMode="1">
    <tabColor rgb="FF7030A0"/>
  </sheetPr>
  <dimension ref="A1:N220"/>
  <sheetViews>
    <sheetView workbookViewId="0">
      <selection activeCell="C1" sqref="C1"/>
    </sheetView>
  </sheetViews>
  <sheetFormatPr defaultRowHeight="12.5" x14ac:dyDescent="0.25"/>
  <cols>
    <col min="5" max="5" width="0" hidden="1" customWidth="1"/>
    <col min="7" max="7" width="0" hidden="1" customWidth="1"/>
    <col min="9" max="9" width="0" hidden="1" customWidth="1"/>
    <col min="11" max="11" width="0" hidden="1" customWidth="1"/>
  </cols>
  <sheetData>
    <row r="1" spans="1:14" ht="18.5" x14ac:dyDescent="0.45">
      <c r="A1" s="331" t="s">
        <v>802</v>
      </c>
    </row>
    <row r="2" spans="1:14" ht="13" thickBot="1" x14ac:dyDescent="0.3"/>
    <row r="3" spans="1:14" ht="15" thickBot="1" x14ac:dyDescent="0.4">
      <c r="D3" s="748" t="s">
        <v>804</v>
      </c>
      <c r="E3" s="749"/>
      <c r="F3" s="749"/>
      <c r="G3" s="749"/>
      <c r="H3" s="749"/>
      <c r="I3" s="749"/>
      <c r="J3" s="749"/>
      <c r="K3" s="750"/>
      <c r="L3" s="364"/>
    </row>
    <row r="4" spans="1:14" ht="102" thickBot="1" x14ac:dyDescent="0.4">
      <c r="A4" s="335" t="s">
        <v>1</v>
      </c>
      <c r="B4" s="336" t="s">
        <v>598</v>
      </c>
      <c r="C4" s="337" t="s">
        <v>805</v>
      </c>
      <c r="D4" s="341" t="s">
        <v>807</v>
      </c>
      <c r="E4" s="337" t="s">
        <v>809</v>
      </c>
      <c r="F4" s="341" t="s">
        <v>811</v>
      </c>
      <c r="G4" s="341" t="s">
        <v>813</v>
      </c>
      <c r="H4" s="341" t="s">
        <v>1062</v>
      </c>
      <c r="I4" s="341" t="s">
        <v>815</v>
      </c>
      <c r="J4" s="341" t="s">
        <v>817</v>
      </c>
      <c r="K4" s="344" t="s">
        <v>819</v>
      </c>
      <c r="L4" s="377"/>
      <c r="M4" s="378" t="s">
        <v>597</v>
      </c>
      <c r="N4" s="378" t="s">
        <v>755</v>
      </c>
    </row>
    <row r="5" spans="1:14" ht="15" thickBot="1" x14ac:dyDescent="0.4">
      <c r="A5" s="347" t="s">
        <v>828</v>
      </c>
      <c r="B5" s="348"/>
      <c r="C5" s="348"/>
      <c r="D5" s="354">
        <v>1131.4285714285716</v>
      </c>
      <c r="E5" s="351"/>
      <c r="F5" s="354">
        <v>1320</v>
      </c>
      <c r="G5" s="354"/>
      <c r="H5" s="354">
        <v>1131.4285714285716</v>
      </c>
      <c r="I5" s="354"/>
      <c r="J5" s="354">
        <v>3582.8571428571431</v>
      </c>
      <c r="K5" s="352"/>
      <c r="L5" s="355"/>
      <c r="M5" s="379"/>
      <c r="N5" s="379"/>
    </row>
    <row r="6" spans="1:14" ht="13" hidden="1" thickTop="1" x14ac:dyDescent="0.25">
      <c r="A6" s="356" t="s">
        <v>324</v>
      </c>
      <c r="B6">
        <v>1014</v>
      </c>
      <c r="C6" s="357" t="s">
        <v>829</v>
      </c>
      <c r="D6" s="363">
        <v>0</v>
      </c>
      <c r="E6" s="360"/>
      <c r="F6" s="363">
        <v>0</v>
      </c>
      <c r="G6" s="363"/>
      <c r="H6" s="363">
        <v>0</v>
      </c>
      <c r="I6" s="363"/>
      <c r="J6" s="363">
        <v>0</v>
      </c>
      <c r="K6" s="361"/>
      <c r="M6" t="s">
        <v>607</v>
      </c>
      <c r="N6" t="s">
        <v>829</v>
      </c>
    </row>
    <row r="7" spans="1:14" ht="13" hidden="1" thickTop="1" x14ac:dyDescent="0.25">
      <c r="A7" s="364" t="s">
        <v>325</v>
      </c>
      <c r="B7">
        <v>1006</v>
      </c>
      <c r="C7" t="s">
        <v>830</v>
      </c>
      <c r="D7" s="363">
        <v>1131.4285714285716</v>
      </c>
      <c r="E7" s="360"/>
      <c r="F7" s="363">
        <v>1320</v>
      </c>
      <c r="G7" s="363"/>
      <c r="H7" s="363">
        <v>1131.4285714285716</v>
      </c>
      <c r="I7" s="363"/>
      <c r="J7" s="363">
        <v>3582.8571428571431</v>
      </c>
      <c r="K7" s="361"/>
      <c r="M7" t="s">
        <v>612</v>
      </c>
      <c r="N7" t="s">
        <v>830</v>
      </c>
    </row>
    <row r="8" spans="1:14" ht="13" hidden="1" thickTop="1" x14ac:dyDescent="0.25">
      <c r="A8" s="364" t="s">
        <v>326</v>
      </c>
      <c r="B8">
        <v>1008</v>
      </c>
      <c r="C8" t="s">
        <v>831</v>
      </c>
      <c r="D8" s="363">
        <v>0</v>
      </c>
      <c r="E8" s="360"/>
      <c r="F8" s="363">
        <v>0</v>
      </c>
      <c r="G8" s="363"/>
      <c r="H8" s="363">
        <v>0</v>
      </c>
      <c r="I8" s="363"/>
      <c r="J8" s="363">
        <v>0</v>
      </c>
      <c r="K8" s="361"/>
      <c r="M8" t="s">
        <v>613</v>
      </c>
      <c r="N8" t="s">
        <v>831</v>
      </c>
    </row>
    <row r="9" spans="1:14" ht="13" hidden="1" thickTop="1" x14ac:dyDescent="0.25">
      <c r="A9" s="364" t="s">
        <v>327</v>
      </c>
      <c r="B9">
        <v>1005</v>
      </c>
      <c r="C9" t="s">
        <v>832</v>
      </c>
      <c r="D9" s="363">
        <v>0</v>
      </c>
      <c r="E9" s="360"/>
      <c r="F9" s="363">
        <v>0</v>
      </c>
      <c r="G9" s="363"/>
      <c r="H9" s="363">
        <v>0</v>
      </c>
      <c r="I9" s="363"/>
      <c r="J9" s="363">
        <v>0</v>
      </c>
      <c r="K9" s="361"/>
      <c r="M9" t="s">
        <v>614</v>
      </c>
      <c r="N9" t="s">
        <v>832</v>
      </c>
    </row>
    <row r="10" spans="1:14" ht="13" hidden="1" thickTop="1" x14ac:dyDescent="0.25">
      <c r="A10" s="364" t="s">
        <v>328</v>
      </c>
      <c r="B10">
        <v>1010</v>
      </c>
      <c r="C10" t="s">
        <v>833</v>
      </c>
      <c r="D10" s="363">
        <v>0</v>
      </c>
      <c r="E10" s="360"/>
      <c r="F10" s="363">
        <v>0</v>
      </c>
      <c r="G10" s="363"/>
      <c r="H10" s="363">
        <v>0</v>
      </c>
      <c r="I10" s="363"/>
      <c r="J10" s="363">
        <v>0</v>
      </c>
      <c r="K10" s="361"/>
      <c r="M10" t="s">
        <v>626</v>
      </c>
      <c r="N10" t="s">
        <v>833</v>
      </c>
    </row>
    <row r="11" spans="1:14" ht="13" hidden="1" thickTop="1" x14ac:dyDescent="0.25">
      <c r="A11" s="364" t="s">
        <v>329</v>
      </c>
      <c r="B11">
        <v>1009</v>
      </c>
      <c r="C11" t="s">
        <v>834</v>
      </c>
      <c r="D11" s="363">
        <v>0</v>
      </c>
      <c r="E11" s="360"/>
      <c r="F11" s="363">
        <v>0</v>
      </c>
      <c r="G11" s="363"/>
      <c r="H11" s="363">
        <v>0</v>
      </c>
      <c r="I11" s="363"/>
      <c r="J11" s="363">
        <v>0</v>
      </c>
      <c r="K11" s="361"/>
      <c r="M11" t="s">
        <v>627</v>
      </c>
      <c r="N11" t="s">
        <v>834</v>
      </c>
    </row>
    <row r="12" spans="1:14" ht="13" hidden="1" thickTop="1" x14ac:dyDescent="0.25">
      <c r="A12" s="364" t="s">
        <v>330</v>
      </c>
      <c r="B12">
        <v>1015</v>
      </c>
      <c r="C12" t="s">
        <v>835</v>
      </c>
      <c r="D12" s="363">
        <v>0</v>
      </c>
      <c r="E12" s="360"/>
      <c r="F12" s="363">
        <v>0</v>
      </c>
      <c r="G12" s="363"/>
      <c r="H12" s="363">
        <v>0</v>
      </c>
      <c r="I12" s="363"/>
      <c r="J12" s="363">
        <v>0</v>
      </c>
      <c r="K12" s="361"/>
      <c r="M12" t="s">
        <v>628</v>
      </c>
      <c r="N12" t="s">
        <v>835</v>
      </c>
    </row>
    <row r="13" spans="1:14" ht="15.5" thickTop="1" thickBot="1" x14ac:dyDescent="0.4">
      <c r="A13" s="347" t="s">
        <v>596</v>
      </c>
      <c r="B13" s="348"/>
      <c r="C13" s="348"/>
      <c r="D13" s="370">
        <v>0</v>
      </c>
      <c r="E13" s="367"/>
      <c r="F13" s="370">
        <v>0</v>
      </c>
      <c r="G13" s="370"/>
      <c r="H13" s="370">
        <v>0</v>
      </c>
      <c r="I13" s="370"/>
      <c r="J13" s="370">
        <v>0</v>
      </c>
      <c r="K13" s="368"/>
      <c r="L13" s="348"/>
      <c r="M13" s="379"/>
      <c r="N13">
        <v>0</v>
      </c>
    </row>
    <row r="14" spans="1:14" ht="13" hidden="1" thickTop="1" x14ac:dyDescent="0.25">
      <c r="A14" s="364" t="s">
        <v>71</v>
      </c>
      <c r="B14">
        <v>2443</v>
      </c>
      <c r="C14" t="s">
        <v>836</v>
      </c>
      <c r="D14" s="363">
        <v>0</v>
      </c>
      <c r="E14" s="360"/>
      <c r="F14" s="363">
        <v>0</v>
      </c>
      <c r="G14" s="363"/>
      <c r="H14" s="363">
        <v>0</v>
      </c>
      <c r="I14" s="363"/>
      <c r="J14" s="363">
        <v>0</v>
      </c>
      <c r="K14" s="361"/>
      <c r="M14" t="s">
        <v>605</v>
      </c>
      <c r="N14" t="s">
        <v>836</v>
      </c>
    </row>
    <row r="15" spans="1:14" ht="13" hidden="1" thickTop="1" x14ac:dyDescent="0.25">
      <c r="A15" s="364" t="s">
        <v>65</v>
      </c>
      <c r="B15">
        <v>2405</v>
      </c>
      <c r="C15" t="s">
        <v>837</v>
      </c>
      <c r="D15" s="363">
        <v>0</v>
      </c>
      <c r="E15" s="360"/>
      <c r="F15" s="363">
        <v>0</v>
      </c>
      <c r="G15" s="363"/>
      <c r="H15" s="363">
        <v>0</v>
      </c>
      <c r="I15" s="363"/>
      <c r="J15" s="363">
        <v>0</v>
      </c>
      <c r="K15" s="361"/>
      <c r="M15" t="s">
        <v>608</v>
      </c>
      <c r="N15" t="s">
        <v>837</v>
      </c>
    </row>
    <row r="16" spans="1:14" ht="13" hidden="1" thickTop="1" x14ac:dyDescent="0.25">
      <c r="A16" s="364" t="s">
        <v>609</v>
      </c>
      <c r="B16">
        <v>4177</v>
      </c>
      <c r="C16" t="s">
        <v>838</v>
      </c>
      <c r="D16" s="363">
        <v>0</v>
      </c>
      <c r="E16" s="360"/>
      <c r="F16" s="363">
        <v>0</v>
      </c>
      <c r="G16" s="363"/>
      <c r="H16" s="363">
        <v>0</v>
      </c>
      <c r="I16" s="363"/>
      <c r="J16" s="363">
        <v>0</v>
      </c>
      <c r="K16" s="361"/>
      <c r="M16" t="s">
        <v>610</v>
      </c>
      <c r="N16" t="s">
        <v>838</v>
      </c>
    </row>
    <row r="17" spans="1:14" ht="13" hidden="1" thickTop="1" x14ac:dyDescent="0.25">
      <c r="A17" s="364" t="s">
        <v>73</v>
      </c>
      <c r="B17">
        <v>2449</v>
      </c>
      <c r="C17" t="s">
        <v>839</v>
      </c>
      <c r="D17" s="363">
        <v>0</v>
      </c>
      <c r="E17" s="360"/>
      <c r="F17" s="363">
        <v>0</v>
      </c>
      <c r="G17" s="363"/>
      <c r="H17" s="363">
        <v>0</v>
      </c>
      <c r="I17" s="363"/>
      <c r="J17" s="363">
        <v>0</v>
      </c>
      <c r="K17" s="361"/>
      <c r="M17" t="s">
        <v>611</v>
      </c>
      <c r="N17" t="s">
        <v>839</v>
      </c>
    </row>
    <row r="18" spans="1:14" ht="13" hidden="1" thickTop="1" x14ac:dyDescent="0.25">
      <c r="A18" s="364" t="s">
        <v>74</v>
      </c>
      <c r="B18">
        <v>2452</v>
      </c>
      <c r="C18" t="s">
        <v>840</v>
      </c>
      <c r="D18" s="363">
        <v>0</v>
      </c>
      <c r="E18" s="360"/>
      <c r="F18" s="363">
        <v>0</v>
      </c>
      <c r="G18" s="363"/>
      <c r="H18" s="363">
        <v>0</v>
      </c>
      <c r="I18" s="363"/>
      <c r="J18" s="363">
        <v>0</v>
      </c>
      <c r="K18" s="361"/>
      <c r="M18" t="s">
        <v>615</v>
      </c>
      <c r="N18" t="s">
        <v>840</v>
      </c>
    </row>
    <row r="19" spans="1:14" ht="13" hidden="1" thickTop="1" x14ac:dyDescent="0.25">
      <c r="A19" s="364" t="s">
        <v>616</v>
      </c>
      <c r="B19">
        <v>2473</v>
      </c>
      <c r="C19" t="s">
        <v>841</v>
      </c>
      <c r="D19" s="363">
        <v>0</v>
      </c>
      <c r="E19" s="360"/>
      <c r="F19" s="363">
        <v>0</v>
      </c>
      <c r="G19" s="363"/>
      <c r="H19" s="363">
        <v>0</v>
      </c>
      <c r="I19" s="363"/>
      <c r="J19" s="363">
        <v>0</v>
      </c>
      <c r="K19" s="361"/>
      <c r="M19" t="s">
        <v>617</v>
      </c>
      <c r="N19" t="s">
        <v>841</v>
      </c>
    </row>
    <row r="20" spans="1:14" ht="13" hidden="1" thickTop="1" x14ac:dyDescent="0.25">
      <c r="A20" s="364" t="s">
        <v>63</v>
      </c>
      <c r="B20">
        <v>2003</v>
      </c>
      <c r="C20" t="s">
        <v>842</v>
      </c>
      <c r="D20" s="363">
        <v>0</v>
      </c>
      <c r="E20" s="360"/>
      <c r="F20" s="363">
        <v>0</v>
      </c>
      <c r="G20" s="363"/>
      <c r="H20" s="363">
        <v>0</v>
      </c>
      <c r="I20" s="363"/>
      <c r="J20" s="363">
        <v>0</v>
      </c>
      <c r="K20" s="361"/>
      <c r="M20" t="s">
        <v>618</v>
      </c>
      <c r="N20" t="s">
        <v>842</v>
      </c>
    </row>
    <row r="21" spans="1:14" ht="13" hidden="1" thickTop="1" x14ac:dyDescent="0.25">
      <c r="A21" s="364" t="s">
        <v>78</v>
      </c>
      <c r="B21">
        <v>2462</v>
      </c>
      <c r="C21" t="s">
        <v>843</v>
      </c>
      <c r="D21" s="363">
        <v>0</v>
      </c>
      <c r="E21" s="360"/>
      <c r="F21" s="363">
        <v>0</v>
      </c>
      <c r="G21" s="363"/>
      <c r="H21" s="363">
        <v>0</v>
      </c>
      <c r="I21" s="363"/>
      <c r="J21" s="363">
        <v>0</v>
      </c>
      <c r="K21" s="361"/>
      <c r="M21" t="s">
        <v>619</v>
      </c>
      <c r="N21" t="s">
        <v>843</v>
      </c>
    </row>
    <row r="22" spans="1:14" ht="13" hidden="1" thickTop="1" x14ac:dyDescent="0.25">
      <c r="A22" s="364" t="s">
        <v>81</v>
      </c>
      <c r="B22">
        <v>2505</v>
      </c>
      <c r="C22" t="s">
        <v>844</v>
      </c>
      <c r="D22" s="363">
        <v>0</v>
      </c>
      <c r="E22" s="360"/>
      <c r="F22" s="363">
        <v>0</v>
      </c>
      <c r="G22" s="363"/>
      <c r="H22" s="363">
        <v>0</v>
      </c>
      <c r="I22" s="363"/>
      <c r="J22" s="363">
        <v>0</v>
      </c>
      <c r="K22" s="361"/>
      <c r="M22" t="s">
        <v>620</v>
      </c>
      <c r="N22" t="s">
        <v>844</v>
      </c>
    </row>
    <row r="23" spans="1:14" ht="13" hidden="1" thickTop="1" x14ac:dyDescent="0.25">
      <c r="A23" s="364" t="s">
        <v>62</v>
      </c>
      <c r="B23">
        <v>2001</v>
      </c>
      <c r="C23" t="s">
        <v>845</v>
      </c>
      <c r="D23" s="363">
        <v>0</v>
      </c>
      <c r="E23" s="360"/>
      <c r="F23" s="363">
        <v>0</v>
      </c>
      <c r="G23" s="363"/>
      <c r="H23" s="363">
        <v>0</v>
      </c>
      <c r="I23" s="363"/>
      <c r="J23" s="363">
        <v>0</v>
      </c>
      <c r="K23" s="361"/>
      <c r="M23" t="s">
        <v>621</v>
      </c>
      <c r="N23" t="s">
        <v>845</v>
      </c>
    </row>
    <row r="24" spans="1:14" ht="13" hidden="1" thickTop="1" x14ac:dyDescent="0.25">
      <c r="A24" s="364" t="s">
        <v>68</v>
      </c>
      <c r="B24">
        <v>2429</v>
      </c>
      <c r="C24" t="s">
        <v>846</v>
      </c>
      <c r="D24" s="363">
        <v>0</v>
      </c>
      <c r="E24" s="360"/>
      <c r="F24" s="363">
        <v>0</v>
      </c>
      <c r="G24" s="363"/>
      <c r="H24" s="363">
        <v>0</v>
      </c>
      <c r="I24" s="363"/>
      <c r="J24" s="363">
        <v>0</v>
      </c>
      <c r="K24" s="361"/>
      <c r="M24" t="s">
        <v>622</v>
      </c>
      <c r="N24" t="s">
        <v>846</v>
      </c>
    </row>
    <row r="25" spans="1:14" ht="13" hidden="1" thickTop="1" x14ac:dyDescent="0.25">
      <c r="A25" s="364" t="s">
        <v>72</v>
      </c>
      <c r="B25">
        <v>2444</v>
      </c>
      <c r="C25" t="s">
        <v>847</v>
      </c>
      <c r="D25" s="363">
        <v>0</v>
      </c>
      <c r="E25" s="360"/>
      <c r="F25" s="363">
        <v>0</v>
      </c>
      <c r="G25" s="363"/>
      <c r="H25" s="363">
        <v>0</v>
      </c>
      <c r="I25" s="363"/>
      <c r="J25" s="363">
        <v>0</v>
      </c>
      <c r="K25" s="361"/>
      <c r="M25" t="s">
        <v>623</v>
      </c>
      <c r="N25" t="s">
        <v>847</v>
      </c>
    </row>
    <row r="26" spans="1:14" ht="13" hidden="1" thickTop="1" x14ac:dyDescent="0.25">
      <c r="A26" s="364" t="s">
        <v>624</v>
      </c>
      <c r="B26">
        <v>3526</v>
      </c>
      <c r="C26" t="s">
        <v>848</v>
      </c>
      <c r="D26" s="363">
        <v>0</v>
      </c>
      <c r="E26" s="360"/>
      <c r="F26" s="363">
        <v>0</v>
      </c>
      <c r="G26" s="363"/>
      <c r="H26" s="363">
        <v>0</v>
      </c>
      <c r="I26" s="363"/>
      <c r="J26" s="363">
        <v>0</v>
      </c>
      <c r="K26" s="361"/>
      <c r="M26" t="s">
        <v>625</v>
      </c>
      <c r="N26" t="s">
        <v>848</v>
      </c>
    </row>
    <row r="27" spans="1:14" ht="15.5" thickTop="1" thickBot="1" x14ac:dyDescent="0.4">
      <c r="A27" s="347" t="s">
        <v>263</v>
      </c>
      <c r="B27" s="348"/>
      <c r="C27" s="348"/>
      <c r="D27" s="370">
        <v>0</v>
      </c>
      <c r="E27" s="367"/>
      <c r="F27" s="370">
        <v>0</v>
      </c>
      <c r="G27" s="370"/>
      <c r="H27" s="370">
        <v>0</v>
      </c>
      <c r="I27" s="370"/>
      <c r="J27" s="370">
        <v>0</v>
      </c>
      <c r="K27" s="368"/>
      <c r="L27" s="348"/>
      <c r="M27" s="379"/>
      <c r="N27">
        <v>0</v>
      </c>
    </row>
    <row r="28" spans="1:14" ht="13" hidden="1" thickTop="1" x14ac:dyDescent="0.25">
      <c r="A28" s="364" t="s">
        <v>124</v>
      </c>
      <c r="B28">
        <v>2629</v>
      </c>
      <c r="C28" t="s">
        <v>849</v>
      </c>
      <c r="D28" s="363">
        <v>0</v>
      </c>
      <c r="E28" s="360"/>
      <c r="F28" s="363">
        <v>0</v>
      </c>
      <c r="G28" s="363"/>
      <c r="H28" s="363">
        <v>0</v>
      </c>
      <c r="I28" s="363"/>
      <c r="J28" s="363">
        <v>0</v>
      </c>
      <c r="K28" s="361"/>
      <c r="N28" t="s">
        <v>849</v>
      </c>
    </row>
    <row r="29" spans="1:14" ht="13" hidden="1" thickTop="1" x14ac:dyDescent="0.25">
      <c r="A29" s="364" t="s">
        <v>630</v>
      </c>
      <c r="B29">
        <v>2509</v>
      </c>
      <c r="C29" t="s">
        <v>850</v>
      </c>
      <c r="D29" s="363">
        <v>0</v>
      </c>
      <c r="E29" s="360"/>
      <c r="F29" s="363">
        <v>0</v>
      </c>
      <c r="G29" s="363"/>
      <c r="H29" s="363">
        <v>0</v>
      </c>
      <c r="I29" s="363"/>
      <c r="J29" s="363">
        <v>0</v>
      </c>
      <c r="K29" s="361"/>
      <c r="N29" t="s">
        <v>850</v>
      </c>
    </row>
    <row r="30" spans="1:14" ht="13" hidden="1" thickTop="1" x14ac:dyDescent="0.25">
      <c r="A30" s="364" t="s">
        <v>631</v>
      </c>
      <c r="B30">
        <v>2021</v>
      </c>
      <c r="C30" t="s">
        <v>851</v>
      </c>
      <c r="D30" s="363">
        <v>0</v>
      </c>
      <c r="E30" s="360"/>
      <c r="F30" s="363">
        <v>0</v>
      </c>
      <c r="G30" s="363"/>
      <c r="H30" s="363">
        <v>0</v>
      </c>
      <c r="I30" s="363"/>
      <c r="J30" s="363">
        <v>0</v>
      </c>
      <c r="K30" s="361"/>
      <c r="N30" t="s">
        <v>851</v>
      </c>
    </row>
    <row r="31" spans="1:14" ht="13" hidden="1" thickTop="1" x14ac:dyDescent="0.25">
      <c r="A31" s="364" t="s">
        <v>117</v>
      </c>
      <c r="B31">
        <v>2464</v>
      </c>
      <c r="C31" t="s">
        <v>852</v>
      </c>
      <c r="D31" s="363">
        <v>0</v>
      </c>
      <c r="E31" s="360"/>
      <c r="F31" s="363">
        <v>0</v>
      </c>
      <c r="G31" s="363"/>
      <c r="H31" s="363">
        <v>0</v>
      </c>
      <c r="I31" s="363"/>
      <c r="J31" s="363">
        <v>0</v>
      </c>
      <c r="K31" s="361"/>
      <c r="N31" t="s">
        <v>852</v>
      </c>
    </row>
    <row r="32" spans="1:14" ht="13" hidden="1" thickTop="1" x14ac:dyDescent="0.25">
      <c r="A32" s="364" t="s">
        <v>89</v>
      </c>
      <c r="B32">
        <v>2004</v>
      </c>
      <c r="C32" t="s">
        <v>853</v>
      </c>
      <c r="D32" s="363">
        <v>0</v>
      </c>
      <c r="E32" s="360"/>
      <c r="F32" s="363">
        <v>0</v>
      </c>
      <c r="G32" s="363"/>
      <c r="H32" s="363">
        <v>0</v>
      </c>
      <c r="I32" s="363"/>
      <c r="J32" s="363">
        <v>0</v>
      </c>
      <c r="K32" s="361"/>
      <c r="N32" t="s">
        <v>853</v>
      </c>
    </row>
    <row r="33" spans="1:14" ht="13" hidden="1" thickTop="1" x14ac:dyDescent="0.25">
      <c r="A33" s="364" t="s">
        <v>632</v>
      </c>
      <c r="B33">
        <v>2432</v>
      </c>
      <c r="C33" t="s">
        <v>854</v>
      </c>
      <c r="D33" s="363">
        <v>0</v>
      </c>
      <c r="E33" s="360"/>
      <c r="F33" s="363">
        <v>0</v>
      </c>
      <c r="G33" s="363"/>
      <c r="H33" s="363">
        <v>0</v>
      </c>
      <c r="I33" s="363"/>
      <c r="J33" s="363">
        <v>0</v>
      </c>
      <c r="K33" s="361"/>
      <c r="N33" t="s">
        <v>854</v>
      </c>
    </row>
    <row r="34" spans="1:14" ht="13" hidden="1" thickTop="1" x14ac:dyDescent="0.25">
      <c r="A34" s="364" t="s">
        <v>101</v>
      </c>
      <c r="B34">
        <v>2018</v>
      </c>
      <c r="C34" t="s">
        <v>855</v>
      </c>
      <c r="D34" s="363">
        <v>0</v>
      </c>
      <c r="E34" s="360"/>
      <c r="F34" s="363">
        <v>0</v>
      </c>
      <c r="G34" s="363"/>
      <c r="H34" s="363">
        <v>0</v>
      </c>
      <c r="I34" s="363"/>
      <c r="J34" s="363">
        <v>0</v>
      </c>
      <c r="K34" s="361"/>
      <c r="N34" t="s">
        <v>855</v>
      </c>
    </row>
    <row r="35" spans="1:14" ht="13" hidden="1" thickTop="1" x14ac:dyDescent="0.25">
      <c r="A35" s="364" t="s">
        <v>122</v>
      </c>
      <c r="B35">
        <v>2512</v>
      </c>
      <c r="C35" t="s">
        <v>856</v>
      </c>
      <c r="D35" s="363">
        <v>0</v>
      </c>
      <c r="E35" s="360"/>
      <c r="F35" s="363">
        <v>0</v>
      </c>
      <c r="G35" s="363"/>
      <c r="H35" s="363">
        <v>0</v>
      </c>
      <c r="I35" s="363"/>
      <c r="J35" s="363">
        <v>0</v>
      </c>
      <c r="K35" s="361"/>
      <c r="N35" t="s">
        <v>856</v>
      </c>
    </row>
    <row r="36" spans="1:14" ht="13" hidden="1" thickTop="1" x14ac:dyDescent="0.25">
      <c r="A36" s="364" t="s">
        <v>633</v>
      </c>
      <c r="B36">
        <v>2011</v>
      </c>
      <c r="C36" t="s">
        <v>857</v>
      </c>
      <c r="D36" s="363">
        <v>0</v>
      </c>
      <c r="E36" s="360"/>
      <c r="F36" s="363">
        <v>0</v>
      </c>
      <c r="G36" s="363"/>
      <c r="H36" s="363">
        <v>0</v>
      </c>
      <c r="I36" s="363"/>
      <c r="J36" s="363">
        <v>0</v>
      </c>
      <c r="K36" s="361"/>
      <c r="N36" t="s">
        <v>857</v>
      </c>
    </row>
    <row r="37" spans="1:14" ht="13" hidden="1" thickTop="1" x14ac:dyDescent="0.25">
      <c r="A37" s="364" t="s">
        <v>136</v>
      </c>
      <c r="B37">
        <v>5201</v>
      </c>
      <c r="C37" t="s">
        <v>858</v>
      </c>
      <c r="D37" s="363">
        <v>0</v>
      </c>
      <c r="E37" s="360"/>
      <c r="F37" s="363">
        <v>0</v>
      </c>
      <c r="G37" s="363"/>
      <c r="H37" s="363">
        <v>0</v>
      </c>
      <c r="I37" s="363"/>
      <c r="J37" s="363">
        <v>0</v>
      </c>
      <c r="K37" s="361"/>
      <c r="N37" t="s">
        <v>858</v>
      </c>
    </row>
    <row r="38" spans="1:14" ht="13" hidden="1" thickTop="1" x14ac:dyDescent="0.25">
      <c r="A38" s="364" t="s">
        <v>634</v>
      </c>
      <c r="B38">
        <v>2456</v>
      </c>
      <c r="C38" t="s">
        <v>859</v>
      </c>
      <c r="D38" s="363">
        <v>0</v>
      </c>
      <c r="E38" s="360"/>
      <c r="F38" s="363">
        <v>0</v>
      </c>
      <c r="G38" s="363"/>
      <c r="H38" s="363">
        <v>0</v>
      </c>
      <c r="I38" s="363"/>
      <c r="J38" s="363">
        <v>0</v>
      </c>
      <c r="K38" s="361"/>
      <c r="N38" t="s">
        <v>859</v>
      </c>
    </row>
    <row r="39" spans="1:14" ht="13" hidden="1" thickTop="1" x14ac:dyDescent="0.25">
      <c r="A39" s="364" t="s">
        <v>110</v>
      </c>
      <c r="B39">
        <v>2027</v>
      </c>
      <c r="C39" t="s">
        <v>756</v>
      </c>
      <c r="D39" s="363">
        <v>0</v>
      </c>
      <c r="E39" s="360"/>
      <c r="F39" s="363">
        <v>0</v>
      </c>
      <c r="G39" s="363"/>
      <c r="H39" s="363">
        <v>0</v>
      </c>
      <c r="I39" s="363"/>
      <c r="J39" s="363">
        <v>0</v>
      </c>
      <c r="K39" s="361"/>
      <c r="N39" t="s">
        <v>756</v>
      </c>
    </row>
    <row r="40" spans="1:14" ht="13" hidden="1" thickTop="1" x14ac:dyDescent="0.25">
      <c r="A40" s="364" t="s">
        <v>119</v>
      </c>
      <c r="B40">
        <v>2467</v>
      </c>
      <c r="C40" t="s">
        <v>861</v>
      </c>
      <c r="D40" s="363">
        <v>0</v>
      </c>
      <c r="E40" s="360"/>
      <c r="F40" s="363">
        <v>0</v>
      </c>
      <c r="G40" s="363"/>
      <c r="H40" s="363">
        <v>0</v>
      </c>
      <c r="I40" s="363"/>
      <c r="J40" s="363">
        <v>0</v>
      </c>
      <c r="K40" s="361"/>
      <c r="N40" t="s">
        <v>861</v>
      </c>
    </row>
    <row r="41" spans="1:14" ht="13" hidden="1" thickTop="1" x14ac:dyDescent="0.25">
      <c r="A41" s="364" t="s">
        <v>113</v>
      </c>
      <c r="B41">
        <v>2451</v>
      </c>
      <c r="C41" t="s">
        <v>862</v>
      </c>
      <c r="D41" s="363">
        <v>0</v>
      </c>
      <c r="E41" s="360"/>
      <c r="F41" s="363">
        <v>0</v>
      </c>
      <c r="G41" s="363"/>
      <c r="H41" s="363">
        <v>0</v>
      </c>
      <c r="I41" s="363"/>
      <c r="J41" s="363">
        <v>0</v>
      </c>
      <c r="K41" s="361"/>
      <c r="N41" t="s">
        <v>862</v>
      </c>
    </row>
    <row r="42" spans="1:14" ht="13" hidden="1" thickTop="1" x14ac:dyDescent="0.25">
      <c r="A42" s="364" t="s">
        <v>635</v>
      </c>
      <c r="B42">
        <v>2023</v>
      </c>
      <c r="C42" t="s">
        <v>863</v>
      </c>
      <c r="D42" s="363">
        <v>0</v>
      </c>
      <c r="E42" s="360"/>
      <c r="F42" s="363">
        <v>0</v>
      </c>
      <c r="G42" s="363"/>
      <c r="H42" s="363">
        <v>0</v>
      </c>
      <c r="I42" s="363"/>
      <c r="J42" s="363">
        <v>0</v>
      </c>
      <c r="K42" s="361"/>
      <c r="N42" t="s">
        <v>863</v>
      </c>
    </row>
    <row r="43" spans="1:14" ht="13" hidden="1" thickTop="1" x14ac:dyDescent="0.25">
      <c r="A43" s="364" t="s">
        <v>636</v>
      </c>
      <c r="B43">
        <v>2016</v>
      </c>
      <c r="C43" t="s">
        <v>864</v>
      </c>
      <c r="D43" s="363">
        <v>0</v>
      </c>
      <c r="E43" s="360"/>
      <c r="F43" s="363">
        <v>0</v>
      </c>
      <c r="G43" s="363"/>
      <c r="H43" s="363">
        <v>0</v>
      </c>
      <c r="I43" s="363"/>
      <c r="J43" s="363">
        <v>0</v>
      </c>
      <c r="K43" s="361"/>
      <c r="N43" t="s">
        <v>864</v>
      </c>
    </row>
    <row r="44" spans="1:14" ht="13" hidden="1" thickTop="1" x14ac:dyDescent="0.25">
      <c r="A44" s="364" t="s">
        <v>637</v>
      </c>
      <c r="B44">
        <v>2013</v>
      </c>
      <c r="C44" t="s">
        <v>865</v>
      </c>
      <c r="D44" s="363">
        <v>0</v>
      </c>
      <c r="E44" s="360"/>
      <c r="F44" s="363">
        <v>0</v>
      </c>
      <c r="G44" s="363"/>
      <c r="H44" s="363">
        <v>0</v>
      </c>
      <c r="I44" s="363"/>
      <c r="J44" s="363">
        <v>0</v>
      </c>
      <c r="K44" s="361"/>
      <c r="N44" t="s">
        <v>865</v>
      </c>
    </row>
    <row r="45" spans="1:14" ht="13" hidden="1" thickTop="1" x14ac:dyDescent="0.25">
      <c r="A45" s="364" t="s">
        <v>638</v>
      </c>
      <c r="B45">
        <v>2010</v>
      </c>
      <c r="C45" t="s">
        <v>866</v>
      </c>
      <c r="D45" s="363">
        <v>0</v>
      </c>
      <c r="E45" s="360"/>
      <c r="F45" s="363">
        <v>0</v>
      </c>
      <c r="G45" s="363"/>
      <c r="H45" s="363">
        <v>0</v>
      </c>
      <c r="I45" s="363"/>
      <c r="J45" s="363">
        <v>0</v>
      </c>
      <c r="K45" s="361"/>
      <c r="N45" t="s">
        <v>866</v>
      </c>
    </row>
    <row r="46" spans="1:14" ht="13" hidden="1" thickTop="1" x14ac:dyDescent="0.25">
      <c r="A46" s="364" t="s">
        <v>88</v>
      </c>
      <c r="B46">
        <v>2002</v>
      </c>
      <c r="C46" t="s">
        <v>867</v>
      </c>
      <c r="D46" s="363">
        <v>0</v>
      </c>
      <c r="E46" s="360"/>
      <c r="F46" s="363">
        <v>0</v>
      </c>
      <c r="G46" s="363"/>
      <c r="H46" s="363">
        <v>0</v>
      </c>
      <c r="I46" s="363"/>
      <c r="J46" s="363">
        <v>0</v>
      </c>
      <c r="K46" s="361"/>
      <c r="N46" t="s">
        <v>867</v>
      </c>
    </row>
    <row r="47" spans="1:14" ht="13" hidden="1" thickTop="1" x14ac:dyDescent="0.25">
      <c r="A47" s="364" t="s">
        <v>639</v>
      </c>
      <c r="B47">
        <v>2006</v>
      </c>
      <c r="C47" t="s">
        <v>868</v>
      </c>
      <c r="D47" s="363">
        <v>0</v>
      </c>
      <c r="E47" s="360"/>
      <c r="F47" s="363">
        <v>0</v>
      </c>
      <c r="G47" s="363"/>
      <c r="H47" s="363">
        <v>0</v>
      </c>
      <c r="I47" s="363"/>
      <c r="J47" s="363">
        <v>0</v>
      </c>
      <c r="K47" s="361"/>
      <c r="N47" t="s">
        <v>868</v>
      </c>
    </row>
    <row r="48" spans="1:14" ht="13" hidden="1" thickTop="1" x14ac:dyDescent="0.25">
      <c r="A48" s="364" t="s">
        <v>107</v>
      </c>
      <c r="B48">
        <v>2024</v>
      </c>
      <c r="C48" t="s">
        <v>869</v>
      </c>
      <c r="D48" s="363">
        <v>0</v>
      </c>
      <c r="E48" s="360"/>
      <c r="F48" s="363">
        <v>0</v>
      </c>
      <c r="G48" s="363"/>
      <c r="H48" s="363">
        <v>0</v>
      </c>
      <c r="I48" s="363"/>
      <c r="J48" s="363">
        <v>0</v>
      </c>
      <c r="K48" s="361"/>
      <c r="N48" t="s">
        <v>869</v>
      </c>
    </row>
    <row r="49" spans="1:14" ht="13" hidden="1" thickTop="1" x14ac:dyDescent="0.25">
      <c r="A49" s="364" t="s">
        <v>133</v>
      </c>
      <c r="B49">
        <v>3544</v>
      </c>
      <c r="C49" t="s">
        <v>870</v>
      </c>
      <c r="D49" s="363">
        <v>0</v>
      </c>
      <c r="E49" s="360"/>
      <c r="F49" s="363">
        <v>0</v>
      </c>
      <c r="G49" s="363"/>
      <c r="H49" s="363">
        <v>0</v>
      </c>
      <c r="I49" s="363"/>
      <c r="J49" s="363">
        <v>0</v>
      </c>
      <c r="K49" s="361"/>
      <c r="N49" t="s">
        <v>870</v>
      </c>
    </row>
    <row r="50" spans="1:14" ht="13" hidden="1" thickTop="1" x14ac:dyDescent="0.25">
      <c r="A50" s="364" t="s">
        <v>640</v>
      </c>
      <c r="B50">
        <v>2022</v>
      </c>
      <c r="C50" t="s">
        <v>871</v>
      </c>
      <c r="D50" s="363">
        <v>0</v>
      </c>
      <c r="E50" s="360"/>
      <c r="F50" s="363">
        <v>0</v>
      </c>
      <c r="G50" s="363"/>
      <c r="H50" s="363">
        <v>0</v>
      </c>
      <c r="I50" s="363"/>
      <c r="J50" s="363">
        <v>0</v>
      </c>
      <c r="K50" s="361"/>
      <c r="N50" t="s">
        <v>871</v>
      </c>
    </row>
    <row r="51" spans="1:14" ht="13" hidden="1" thickTop="1" x14ac:dyDescent="0.25">
      <c r="A51" s="364" t="s">
        <v>641</v>
      </c>
      <c r="B51">
        <v>2020</v>
      </c>
      <c r="C51" t="s">
        <v>872</v>
      </c>
      <c r="D51" s="363">
        <v>0</v>
      </c>
      <c r="E51" s="360"/>
      <c r="F51" s="363">
        <v>0</v>
      </c>
      <c r="G51" s="363"/>
      <c r="H51" s="363">
        <v>0</v>
      </c>
      <c r="I51" s="363"/>
      <c r="J51" s="363">
        <v>0</v>
      </c>
      <c r="K51" s="361"/>
      <c r="N51" t="s">
        <v>872</v>
      </c>
    </row>
    <row r="52" spans="1:14" ht="13" hidden="1" thickTop="1" x14ac:dyDescent="0.25">
      <c r="A52" s="364" t="s">
        <v>642</v>
      </c>
      <c r="B52">
        <v>2028</v>
      </c>
      <c r="C52" s="357" t="s">
        <v>873</v>
      </c>
      <c r="D52" s="363">
        <v>0</v>
      </c>
      <c r="E52" s="360"/>
      <c r="F52" s="363">
        <v>0</v>
      </c>
      <c r="G52" s="363"/>
      <c r="H52" s="363">
        <v>0</v>
      </c>
      <c r="I52" s="363"/>
      <c r="J52" s="363">
        <v>0</v>
      </c>
      <c r="K52" s="361"/>
      <c r="N52" t="s">
        <v>873</v>
      </c>
    </row>
    <row r="53" spans="1:14" ht="13" hidden="1" thickTop="1" x14ac:dyDescent="0.25">
      <c r="A53" s="364" t="s">
        <v>643</v>
      </c>
      <c r="B53">
        <v>3543</v>
      </c>
      <c r="C53" t="s">
        <v>874</v>
      </c>
      <c r="D53" s="363">
        <v>0</v>
      </c>
      <c r="E53" s="360"/>
      <c r="F53" s="363">
        <v>0</v>
      </c>
      <c r="G53" s="363"/>
      <c r="H53" s="363">
        <v>0</v>
      </c>
      <c r="I53" s="363"/>
      <c r="J53" s="363">
        <v>0</v>
      </c>
      <c r="K53" s="361"/>
      <c r="N53" t="s">
        <v>874</v>
      </c>
    </row>
    <row r="54" spans="1:14" ht="13" hidden="1" thickTop="1" x14ac:dyDescent="0.25">
      <c r="A54" s="364" t="s">
        <v>644</v>
      </c>
      <c r="B54">
        <v>3158</v>
      </c>
      <c r="C54" t="s">
        <v>875</v>
      </c>
      <c r="D54" s="363">
        <v>0</v>
      </c>
      <c r="E54" s="360"/>
      <c r="F54" s="363">
        <v>0</v>
      </c>
      <c r="G54" s="363"/>
      <c r="H54" s="363">
        <v>0</v>
      </c>
      <c r="I54" s="363"/>
      <c r="J54" s="363">
        <v>0</v>
      </c>
      <c r="K54" s="361"/>
      <c r="N54" t="s">
        <v>875</v>
      </c>
    </row>
    <row r="55" spans="1:14" ht="13" hidden="1" thickTop="1" x14ac:dyDescent="0.25">
      <c r="A55" s="364" t="s">
        <v>645</v>
      </c>
      <c r="B55">
        <v>3528</v>
      </c>
      <c r="C55" t="s">
        <v>876</v>
      </c>
      <c r="D55" s="363">
        <v>0</v>
      </c>
      <c r="E55" s="360"/>
      <c r="F55" s="363">
        <v>0</v>
      </c>
      <c r="G55" s="363"/>
      <c r="H55" s="363">
        <v>0</v>
      </c>
      <c r="I55" s="363"/>
      <c r="J55" s="363">
        <v>0</v>
      </c>
      <c r="K55" s="361"/>
      <c r="N55" t="s">
        <v>876</v>
      </c>
    </row>
    <row r="56" spans="1:14" ht="13" hidden="1" thickTop="1" x14ac:dyDescent="0.25">
      <c r="A56" s="364" t="s">
        <v>646</v>
      </c>
      <c r="B56">
        <v>3546</v>
      </c>
      <c r="C56" t="s">
        <v>877</v>
      </c>
      <c r="D56" s="363">
        <v>0</v>
      </c>
      <c r="E56" s="360"/>
      <c r="F56" s="363">
        <v>0</v>
      </c>
      <c r="G56" s="363"/>
      <c r="H56" s="363">
        <v>0</v>
      </c>
      <c r="I56" s="363"/>
      <c r="J56" s="363">
        <v>0</v>
      </c>
      <c r="K56" s="361"/>
      <c r="N56" t="s">
        <v>877</v>
      </c>
    </row>
    <row r="57" spans="1:14" ht="13" hidden="1" thickTop="1" x14ac:dyDescent="0.25">
      <c r="A57" s="364" t="s">
        <v>647</v>
      </c>
      <c r="B57">
        <v>3530</v>
      </c>
      <c r="C57" t="s">
        <v>878</v>
      </c>
      <c r="D57" s="363">
        <v>0</v>
      </c>
      <c r="E57" s="360"/>
      <c r="F57" s="363">
        <v>0</v>
      </c>
      <c r="G57" s="363"/>
      <c r="H57" s="363">
        <v>0</v>
      </c>
      <c r="I57" s="363"/>
      <c r="J57" s="363">
        <v>0</v>
      </c>
      <c r="K57" s="361"/>
      <c r="N57" t="s">
        <v>878</v>
      </c>
    </row>
    <row r="58" spans="1:14" ht="13" hidden="1" thickTop="1" x14ac:dyDescent="0.25">
      <c r="A58" s="364" t="s">
        <v>648</v>
      </c>
      <c r="B58">
        <v>2007</v>
      </c>
      <c r="C58" t="s">
        <v>879</v>
      </c>
      <c r="D58" s="363">
        <v>0</v>
      </c>
      <c r="E58" s="360"/>
      <c r="F58" s="363">
        <v>0</v>
      </c>
      <c r="G58" s="363"/>
      <c r="H58" s="363">
        <v>0</v>
      </c>
      <c r="I58" s="363"/>
      <c r="J58" s="363">
        <v>0</v>
      </c>
      <c r="K58" s="361"/>
      <c r="N58" t="s">
        <v>879</v>
      </c>
    </row>
    <row r="59" spans="1:14" ht="13" hidden="1" thickTop="1" x14ac:dyDescent="0.25">
      <c r="A59" s="364" t="s">
        <v>880</v>
      </c>
      <c r="B59">
        <v>4000</v>
      </c>
      <c r="C59" t="s">
        <v>649</v>
      </c>
      <c r="D59" s="363">
        <v>0</v>
      </c>
      <c r="E59" s="360"/>
      <c r="F59" s="363">
        <v>0</v>
      </c>
      <c r="G59" s="363"/>
      <c r="H59" s="363">
        <v>0</v>
      </c>
      <c r="I59" s="363"/>
      <c r="J59" s="363">
        <v>0</v>
      </c>
      <c r="K59" s="361"/>
      <c r="N59" t="s">
        <v>649</v>
      </c>
    </row>
    <row r="60" spans="1:14" ht="15.5" thickTop="1" thickBot="1" x14ac:dyDescent="0.4">
      <c r="A60" s="347" t="s">
        <v>881</v>
      </c>
      <c r="B60" s="348"/>
      <c r="C60" s="348"/>
      <c r="D60" s="370">
        <v>159010.3961904762</v>
      </c>
      <c r="E60" s="367"/>
      <c r="F60" s="370">
        <v>185512.12888888887</v>
      </c>
      <c r="G60" s="370"/>
      <c r="H60" s="370">
        <v>159010.3961904762</v>
      </c>
      <c r="I60" s="370"/>
      <c r="J60" s="370">
        <v>503532.92126984126</v>
      </c>
      <c r="K60" s="368"/>
      <c r="L60" s="348"/>
      <c r="M60" s="379"/>
      <c r="N60">
        <v>0</v>
      </c>
    </row>
    <row r="61" spans="1:14" ht="13" hidden="1" thickTop="1" x14ac:dyDescent="0.25">
      <c r="A61" s="364" t="s">
        <v>331</v>
      </c>
      <c r="B61">
        <v>206189</v>
      </c>
      <c r="C61" t="s">
        <v>882</v>
      </c>
      <c r="D61" s="363">
        <v>1157.1428571428571</v>
      </c>
      <c r="E61" s="360"/>
      <c r="F61" s="363">
        <v>1350</v>
      </c>
      <c r="G61" s="363"/>
      <c r="H61" s="363">
        <v>1157.1428571428571</v>
      </c>
      <c r="I61" s="363"/>
      <c r="J61" s="363">
        <v>3664.2857142857138</v>
      </c>
      <c r="K61" s="361"/>
      <c r="N61" t="s">
        <v>882</v>
      </c>
    </row>
    <row r="62" spans="1:14" ht="13" hidden="1" thickTop="1" x14ac:dyDescent="0.25">
      <c r="A62" s="364" t="s">
        <v>332</v>
      </c>
      <c r="B62" t="s">
        <v>652</v>
      </c>
      <c r="C62" t="s">
        <v>883</v>
      </c>
      <c r="D62" s="363">
        <v>437.14285714285717</v>
      </c>
      <c r="E62" s="360"/>
      <c r="F62" s="363">
        <v>510</v>
      </c>
      <c r="G62" s="363"/>
      <c r="H62" s="363">
        <v>437.14285714285717</v>
      </c>
      <c r="I62" s="363"/>
      <c r="J62" s="363">
        <v>1384.2857142857142</v>
      </c>
      <c r="K62" s="361"/>
      <c r="N62" t="s">
        <v>883</v>
      </c>
    </row>
    <row r="63" spans="1:14" ht="13" hidden="1" thickTop="1" x14ac:dyDescent="0.25">
      <c r="A63" s="364" t="s">
        <v>167</v>
      </c>
      <c r="B63" t="s">
        <v>335</v>
      </c>
      <c r="C63" t="s">
        <v>884</v>
      </c>
      <c r="D63" s="363">
        <v>77.142857142857139</v>
      </c>
      <c r="E63" s="360"/>
      <c r="F63" s="363">
        <v>90</v>
      </c>
      <c r="G63" s="363"/>
      <c r="H63" s="363">
        <v>77.142857142857139</v>
      </c>
      <c r="I63" s="363"/>
      <c r="J63" s="363">
        <v>244.28571428571428</v>
      </c>
      <c r="K63" s="361"/>
      <c r="N63" t="s">
        <v>884</v>
      </c>
    </row>
    <row r="64" spans="1:14" ht="13" hidden="1" thickTop="1" x14ac:dyDescent="0.25">
      <c r="A64" s="364" t="s">
        <v>337</v>
      </c>
      <c r="B64" t="s">
        <v>336</v>
      </c>
      <c r="C64" t="s">
        <v>885</v>
      </c>
      <c r="D64" s="363">
        <v>2897.6055555555567</v>
      </c>
      <c r="E64" s="360"/>
      <c r="F64" s="363">
        <v>3380.5398148148161</v>
      </c>
      <c r="G64" s="363"/>
      <c r="H64" s="363">
        <v>2897.6055555555567</v>
      </c>
      <c r="I64" s="363"/>
      <c r="J64" s="363">
        <v>9175.7509259259296</v>
      </c>
      <c r="K64" s="361"/>
      <c r="N64" t="s">
        <v>885</v>
      </c>
    </row>
    <row r="65" spans="1:14" ht="13" hidden="1" thickTop="1" x14ac:dyDescent="0.25">
      <c r="A65" s="364" t="s">
        <v>338</v>
      </c>
      <c r="B65">
        <v>206124</v>
      </c>
      <c r="C65" t="s">
        <v>887</v>
      </c>
      <c r="D65" s="363">
        <v>0</v>
      </c>
      <c r="E65" s="360"/>
      <c r="F65" s="363">
        <v>0</v>
      </c>
      <c r="G65" s="363"/>
      <c r="H65" s="363">
        <v>0</v>
      </c>
      <c r="I65" s="363"/>
      <c r="J65" s="363">
        <v>0</v>
      </c>
      <c r="K65" s="361"/>
      <c r="N65" t="s">
        <v>887</v>
      </c>
    </row>
    <row r="66" spans="1:14" ht="13" thickTop="1" x14ac:dyDescent="0.25">
      <c r="A66" s="364" t="s">
        <v>886</v>
      </c>
      <c r="B66" t="s">
        <v>1041</v>
      </c>
      <c r="C66" t="s">
        <v>1041</v>
      </c>
      <c r="D66" s="363">
        <v>0</v>
      </c>
      <c r="E66" s="360"/>
      <c r="F66" s="363">
        <v>0</v>
      </c>
      <c r="G66" s="363"/>
      <c r="H66" s="363">
        <v>0</v>
      </c>
      <c r="I66" s="363"/>
      <c r="J66" s="363">
        <v>0</v>
      </c>
      <c r="K66" s="361"/>
      <c r="N66" t="s">
        <v>1041</v>
      </c>
    </row>
    <row r="67" spans="1:14" hidden="1" x14ac:dyDescent="0.25">
      <c r="A67" s="364" t="s">
        <v>341</v>
      </c>
      <c r="B67">
        <v>206126</v>
      </c>
      <c r="C67" t="s">
        <v>888</v>
      </c>
      <c r="D67" s="363">
        <v>0</v>
      </c>
      <c r="E67" s="360"/>
      <c r="F67" s="363">
        <v>0</v>
      </c>
      <c r="G67" s="363"/>
      <c r="H67" s="363">
        <v>0</v>
      </c>
      <c r="I67" s="363"/>
      <c r="J67" s="363">
        <v>0</v>
      </c>
      <c r="K67" s="361"/>
      <c r="N67" t="s">
        <v>888</v>
      </c>
    </row>
    <row r="68" spans="1:14" hidden="1" x14ac:dyDescent="0.25">
      <c r="A68" s="364" t="s">
        <v>342</v>
      </c>
      <c r="B68">
        <v>206111</v>
      </c>
      <c r="C68" t="s">
        <v>889</v>
      </c>
      <c r="D68" s="363">
        <v>7870.9714285714308</v>
      </c>
      <c r="E68" s="360"/>
      <c r="F68" s="363">
        <v>9182.8000000000029</v>
      </c>
      <c r="G68" s="363"/>
      <c r="H68" s="363">
        <v>7870.9714285714308</v>
      </c>
      <c r="I68" s="363"/>
      <c r="J68" s="363">
        <v>24924.742857142861</v>
      </c>
      <c r="K68" s="361"/>
      <c r="N68" t="s">
        <v>889</v>
      </c>
    </row>
    <row r="69" spans="1:14" x14ac:dyDescent="0.25">
      <c r="A69" s="364" t="s">
        <v>890</v>
      </c>
      <c r="B69" t="s">
        <v>891</v>
      </c>
      <c r="C69" t="s">
        <v>891</v>
      </c>
      <c r="D69" s="363">
        <v>3917.3142857142866</v>
      </c>
      <c r="E69" s="360"/>
      <c r="F69" s="363">
        <v>4570.2000000000016</v>
      </c>
      <c r="G69" s="363"/>
      <c r="H69" s="363">
        <v>3917.3142857142866</v>
      </c>
      <c r="I69" s="363"/>
      <c r="J69" s="363">
        <v>12404.828571428576</v>
      </c>
      <c r="K69" s="361"/>
      <c r="N69" t="s">
        <v>891</v>
      </c>
    </row>
    <row r="70" spans="1:14" hidden="1" x14ac:dyDescent="0.25">
      <c r="A70" s="364" t="s">
        <v>343</v>
      </c>
      <c r="B70">
        <v>206091</v>
      </c>
      <c r="C70" t="s">
        <v>892</v>
      </c>
      <c r="D70" s="363">
        <v>2088.5485714285714</v>
      </c>
      <c r="E70" s="360"/>
      <c r="F70" s="363">
        <v>2436.64</v>
      </c>
      <c r="G70" s="363"/>
      <c r="H70" s="363">
        <v>2088.5485714285714</v>
      </c>
      <c r="I70" s="363"/>
      <c r="J70" s="363">
        <v>6613.7371428571423</v>
      </c>
      <c r="K70" s="361"/>
      <c r="N70" t="s">
        <v>892</v>
      </c>
    </row>
    <row r="71" spans="1:14" x14ac:dyDescent="0.25">
      <c r="A71" s="364" t="s">
        <v>1042</v>
      </c>
      <c r="B71" t="s">
        <v>860</v>
      </c>
      <c r="C71" t="s">
        <v>860</v>
      </c>
      <c r="D71" s="363">
        <v>0</v>
      </c>
      <c r="E71" s="360"/>
      <c r="F71" s="363">
        <v>0</v>
      </c>
      <c r="G71" s="363"/>
      <c r="H71" s="363">
        <v>0</v>
      </c>
      <c r="I71" s="363"/>
      <c r="J71" s="363">
        <v>0</v>
      </c>
      <c r="K71" s="361"/>
      <c r="N71" t="s">
        <v>860</v>
      </c>
    </row>
    <row r="72" spans="1:14" hidden="1" x14ac:dyDescent="0.25">
      <c r="A72" s="364" t="s">
        <v>344</v>
      </c>
      <c r="B72">
        <v>206128</v>
      </c>
      <c r="C72" t="s">
        <v>893</v>
      </c>
      <c r="D72" s="363">
        <v>0</v>
      </c>
      <c r="E72" s="360"/>
      <c r="F72" s="363">
        <v>0</v>
      </c>
      <c r="G72" s="363"/>
      <c r="H72" s="363">
        <v>0</v>
      </c>
      <c r="I72" s="363"/>
      <c r="J72" s="363">
        <v>0</v>
      </c>
      <c r="K72" s="361"/>
      <c r="N72" t="s">
        <v>893</v>
      </c>
    </row>
    <row r="73" spans="1:14" hidden="1" x14ac:dyDescent="0.25">
      <c r="A73" s="364" t="s">
        <v>345</v>
      </c>
      <c r="B73">
        <v>205999</v>
      </c>
      <c r="C73" t="s">
        <v>894</v>
      </c>
      <c r="D73" s="363">
        <v>180</v>
      </c>
      <c r="E73" s="360"/>
      <c r="F73" s="363">
        <v>210</v>
      </c>
      <c r="G73" s="363"/>
      <c r="H73" s="363">
        <v>180</v>
      </c>
      <c r="I73" s="363"/>
      <c r="J73" s="363">
        <v>570</v>
      </c>
      <c r="K73" s="361"/>
      <c r="N73" t="s">
        <v>894</v>
      </c>
    </row>
    <row r="74" spans="1:14" hidden="1" x14ac:dyDescent="0.25">
      <c r="A74" s="364" t="s">
        <v>347</v>
      </c>
      <c r="B74" t="s">
        <v>346</v>
      </c>
      <c r="C74" t="s">
        <v>895</v>
      </c>
      <c r="D74" s="363">
        <v>180</v>
      </c>
      <c r="E74" s="360"/>
      <c r="F74" s="363">
        <v>210</v>
      </c>
      <c r="G74" s="363"/>
      <c r="H74" s="363">
        <v>180</v>
      </c>
      <c r="I74" s="363"/>
      <c r="J74" s="363">
        <v>570</v>
      </c>
      <c r="K74" s="361"/>
      <c r="N74" t="s">
        <v>895</v>
      </c>
    </row>
    <row r="75" spans="1:14" hidden="1" x14ac:dyDescent="0.25">
      <c r="A75" s="364" t="s">
        <v>349</v>
      </c>
      <c r="B75" t="s">
        <v>348</v>
      </c>
      <c r="C75" t="s">
        <v>896</v>
      </c>
      <c r="D75" s="363">
        <v>900</v>
      </c>
      <c r="E75" s="360"/>
      <c r="F75" s="363">
        <v>1050</v>
      </c>
      <c r="G75" s="363"/>
      <c r="H75" s="363">
        <v>900</v>
      </c>
      <c r="I75" s="363"/>
      <c r="J75" s="363">
        <v>2850</v>
      </c>
      <c r="K75" s="361"/>
      <c r="N75" t="s">
        <v>896</v>
      </c>
    </row>
    <row r="76" spans="1:14" hidden="1" x14ac:dyDescent="0.25">
      <c r="A76" s="364" t="s">
        <v>350</v>
      </c>
      <c r="B76">
        <v>205921</v>
      </c>
      <c r="C76" t="s">
        <v>897</v>
      </c>
      <c r="D76" s="363">
        <v>180</v>
      </c>
      <c r="E76" s="360"/>
      <c r="F76" s="363">
        <v>210</v>
      </c>
      <c r="G76" s="363"/>
      <c r="H76" s="363">
        <v>180</v>
      </c>
      <c r="I76" s="363"/>
      <c r="J76" s="363">
        <v>570</v>
      </c>
      <c r="K76" s="361"/>
      <c r="N76" t="s">
        <v>897</v>
      </c>
    </row>
    <row r="77" spans="1:14" hidden="1" x14ac:dyDescent="0.25">
      <c r="A77" s="364" t="s">
        <v>351</v>
      </c>
      <c r="B77">
        <v>206011</v>
      </c>
      <c r="C77" t="s">
        <v>898</v>
      </c>
      <c r="D77" s="363">
        <v>360</v>
      </c>
      <c r="E77" s="360"/>
      <c r="F77" s="363">
        <v>420</v>
      </c>
      <c r="G77" s="363"/>
      <c r="H77" s="363">
        <v>360</v>
      </c>
      <c r="I77" s="363"/>
      <c r="J77" s="363">
        <v>1140</v>
      </c>
      <c r="K77" s="361"/>
      <c r="N77" t="s">
        <v>898</v>
      </c>
    </row>
    <row r="78" spans="1:14" x14ac:dyDescent="0.25">
      <c r="A78" s="364" t="s">
        <v>352</v>
      </c>
      <c r="B78" t="s">
        <v>899</v>
      </c>
      <c r="C78" t="s">
        <v>899</v>
      </c>
      <c r="D78" s="363">
        <v>0</v>
      </c>
      <c r="E78" s="360"/>
      <c r="F78" s="363">
        <v>0</v>
      </c>
      <c r="G78" s="363"/>
      <c r="H78" s="363">
        <v>0</v>
      </c>
      <c r="I78" s="363"/>
      <c r="J78" s="363">
        <v>0</v>
      </c>
      <c r="K78" s="361"/>
      <c r="N78" t="s">
        <v>899</v>
      </c>
    </row>
    <row r="79" spans="1:14" hidden="1" x14ac:dyDescent="0.25">
      <c r="A79" s="364" t="s">
        <v>356</v>
      </c>
      <c r="B79" t="s">
        <v>355</v>
      </c>
      <c r="C79" t="s">
        <v>900</v>
      </c>
      <c r="D79" s="363">
        <v>0</v>
      </c>
      <c r="E79" s="360"/>
      <c r="F79" s="363">
        <v>0</v>
      </c>
      <c r="G79" s="363"/>
      <c r="H79" s="363">
        <v>0</v>
      </c>
      <c r="I79" s="363"/>
      <c r="J79" s="363">
        <v>0</v>
      </c>
      <c r="K79" s="361"/>
      <c r="N79" t="s">
        <v>900</v>
      </c>
    </row>
    <row r="80" spans="1:14" hidden="1" x14ac:dyDescent="0.25">
      <c r="A80" s="364" t="s">
        <v>358</v>
      </c>
      <c r="B80" t="s">
        <v>357</v>
      </c>
      <c r="C80" t="s">
        <v>901</v>
      </c>
      <c r="D80" s="363">
        <v>0</v>
      </c>
      <c r="E80" s="360"/>
      <c r="F80" s="363">
        <v>0</v>
      </c>
      <c r="G80" s="363"/>
      <c r="H80" s="363">
        <v>0</v>
      </c>
      <c r="I80" s="363"/>
      <c r="J80" s="363">
        <v>0</v>
      </c>
      <c r="K80" s="361"/>
      <c r="N80" t="s">
        <v>901</v>
      </c>
    </row>
    <row r="81" spans="1:14" hidden="1" x14ac:dyDescent="0.25">
      <c r="A81" s="364" t="s">
        <v>360</v>
      </c>
      <c r="B81" t="s">
        <v>359</v>
      </c>
      <c r="C81" t="s">
        <v>902</v>
      </c>
      <c r="D81" s="363">
        <v>360</v>
      </c>
      <c r="E81" s="360"/>
      <c r="F81" s="363">
        <v>420</v>
      </c>
      <c r="G81" s="363"/>
      <c r="H81" s="363">
        <v>360</v>
      </c>
      <c r="I81" s="363"/>
      <c r="J81" s="363">
        <v>1140</v>
      </c>
      <c r="K81" s="361"/>
      <c r="N81" t="s">
        <v>902</v>
      </c>
    </row>
    <row r="82" spans="1:14" hidden="1" x14ac:dyDescent="0.25">
      <c r="A82" s="364" t="s">
        <v>361</v>
      </c>
      <c r="B82">
        <v>2549324</v>
      </c>
      <c r="C82" t="s">
        <v>903</v>
      </c>
      <c r="D82" s="363">
        <v>2160</v>
      </c>
      <c r="E82" s="360"/>
      <c r="F82" s="363">
        <v>2520</v>
      </c>
      <c r="G82" s="363"/>
      <c r="H82" s="363">
        <v>2160</v>
      </c>
      <c r="I82" s="363"/>
      <c r="J82" s="363">
        <v>6840</v>
      </c>
      <c r="K82" s="361"/>
      <c r="N82" t="s">
        <v>903</v>
      </c>
    </row>
    <row r="83" spans="1:14" x14ac:dyDescent="0.25">
      <c r="A83" s="364" t="s">
        <v>904</v>
      </c>
      <c r="B83" t="s">
        <v>905</v>
      </c>
      <c r="C83" t="s">
        <v>905</v>
      </c>
      <c r="D83" s="363">
        <v>180</v>
      </c>
      <c r="E83" s="360"/>
      <c r="F83" s="363">
        <v>210</v>
      </c>
      <c r="G83" s="363"/>
      <c r="H83" s="363">
        <v>180</v>
      </c>
      <c r="I83" s="363"/>
      <c r="J83" s="363">
        <v>570</v>
      </c>
      <c r="K83" s="361"/>
      <c r="N83" t="s">
        <v>905</v>
      </c>
    </row>
    <row r="84" spans="1:14" hidden="1" x14ac:dyDescent="0.25">
      <c r="A84" s="364" t="s">
        <v>364</v>
      </c>
      <c r="B84">
        <v>2519477</v>
      </c>
      <c r="C84" t="s">
        <v>906</v>
      </c>
      <c r="D84" s="363">
        <v>180</v>
      </c>
      <c r="E84" s="360"/>
      <c r="F84" s="363">
        <v>210</v>
      </c>
      <c r="G84" s="363"/>
      <c r="H84" s="363">
        <v>180</v>
      </c>
      <c r="I84" s="363"/>
      <c r="J84" s="363">
        <v>570</v>
      </c>
      <c r="K84" s="361"/>
      <c r="N84" t="s">
        <v>906</v>
      </c>
    </row>
    <row r="85" spans="1:14" x14ac:dyDescent="0.25">
      <c r="A85" s="364" t="s">
        <v>1076</v>
      </c>
      <c r="B85" t="s">
        <v>1077</v>
      </c>
      <c r="C85" t="s">
        <v>1077</v>
      </c>
      <c r="D85" s="363">
        <v>90</v>
      </c>
      <c r="E85" s="360"/>
      <c r="F85" s="363">
        <v>105</v>
      </c>
      <c r="G85" s="363"/>
      <c r="H85" s="363">
        <v>90</v>
      </c>
      <c r="I85" s="363"/>
      <c r="J85" s="363">
        <v>285</v>
      </c>
      <c r="K85" s="361"/>
      <c r="N85" t="s">
        <v>1077</v>
      </c>
    </row>
    <row r="86" spans="1:14" x14ac:dyDescent="0.25">
      <c r="A86" s="364" t="s">
        <v>1063</v>
      </c>
      <c r="B86" t="s">
        <v>1044</v>
      </c>
      <c r="C86" t="s">
        <v>1044</v>
      </c>
      <c r="D86" s="363">
        <v>360</v>
      </c>
      <c r="E86" s="360"/>
      <c r="F86" s="363">
        <v>420</v>
      </c>
      <c r="G86" s="363"/>
      <c r="H86" s="363">
        <v>360</v>
      </c>
      <c r="I86" s="363"/>
      <c r="J86" s="363">
        <v>1140</v>
      </c>
      <c r="K86" s="361"/>
      <c r="N86" t="s">
        <v>1044</v>
      </c>
    </row>
    <row r="87" spans="1:14" hidden="1" x14ac:dyDescent="0.25">
      <c r="A87" s="364" t="s">
        <v>368</v>
      </c>
      <c r="B87" t="s">
        <v>367</v>
      </c>
      <c r="C87" t="s">
        <v>907</v>
      </c>
      <c r="D87" s="363">
        <v>360</v>
      </c>
      <c r="E87" s="360"/>
      <c r="F87" s="363">
        <v>420</v>
      </c>
      <c r="G87" s="363"/>
      <c r="H87" s="363">
        <v>360</v>
      </c>
      <c r="I87" s="363"/>
      <c r="J87" s="363">
        <v>1140</v>
      </c>
      <c r="K87" s="361"/>
      <c r="N87" t="s">
        <v>907</v>
      </c>
    </row>
    <row r="88" spans="1:14" x14ac:dyDescent="0.25">
      <c r="A88" s="364" t="s">
        <v>908</v>
      </c>
      <c r="B88" t="s">
        <v>909</v>
      </c>
      <c r="C88" t="s">
        <v>909</v>
      </c>
      <c r="D88" s="363">
        <v>167.14285714285714</v>
      </c>
      <c r="E88" s="360"/>
      <c r="F88" s="363">
        <v>195</v>
      </c>
      <c r="G88" s="363"/>
      <c r="H88" s="363">
        <v>167.14285714285714</v>
      </c>
      <c r="I88" s="363"/>
      <c r="J88" s="363">
        <v>529.28571428571422</v>
      </c>
      <c r="K88" s="361"/>
      <c r="N88" t="s">
        <v>909</v>
      </c>
    </row>
    <row r="89" spans="1:14" hidden="1" x14ac:dyDescent="0.25">
      <c r="A89" s="364" t="s">
        <v>369</v>
      </c>
      <c r="B89">
        <v>205852</v>
      </c>
      <c r="C89" t="s">
        <v>910</v>
      </c>
      <c r="D89" s="363">
        <v>180</v>
      </c>
      <c r="E89" s="360"/>
      <c r="F89" s="363">
        <v>210</v>
      </c>
      <c r="G89" s="363"/>
      <c r="H89" s="363">
        <v>180</v>
      </c>
      <c r="I89" s="363"/>
      <c r="J89" s="363">
        <v>570</v>
      </c>
      <c r="K89" s="361"/>
      <c r="N89" t="s">
        <v>910</v>
      </c>
    </row>
    <row r="90" spans="1:14" hidden="1" x14ac:dyDescent="0.25">
      <c r="A90" s="364" t="s">
        <v>371</v>
      </c>
      <c r="B90">
        <v>205922</v>
      </c>
      <c r="C90" t="s">
        <v>911</v>
      </c>
      <c r="D90" s="363">
        <v>360</v>
      </c>
      <c r="E90" s="360"/>
      <c r="F90" s="363">
        <v>420</v>
      </c>
      <c r="G90" s="363"/>
      <c r="H90" s="363">
        <v>360</v>
      </c>
      <c r="I90" s="363"/>
      <c r="J90" s="363">
        <v>1140</v>
      </c>
      <c r="K90" s="361"/>
      <c r="N90" t="s">
        <v>911</v>
      </c>
    </row>
    <row r="91" spans="1:14" hidden="1" x14ac:dyDescent="0.25">
      <c r="A91" s="364" t="s">
        <v>373</v>
      </c>
      <c r="B91" t="s">
        <v>372</v>
      </c>
      <c r="C91" t="s">
        <v>912</v>
      </c>
      <c r="D91" s="363">
        <v>540</v>
      </c>
      <c r="E91" s="360"/>
      <c r="F91" s="363">
        <v>630</v>
      </c>
      <c r="G91" s="363"/>
      <c r="H91" s="363">
        <v>540</v>
      </c>
      <c r="I91" s="363"/>
      <c r="J91" s="363">
        <v>1710</v>
      </c>
      <c r="K91" s="361"/>
      <c r="N91" t="s">
        <v>912</v>
      </c>
    </row>
    <row r="92" spans="1:14" hidden="1" x14ac:dyDescent="0.25">
      <c r="A92" s="364" t="s">
        <v>375</v>
      </c>
      <c r="B92" t="s">
        <v>374</v>
      </c>
      <c r="C92" t="s">
        <v>913</v>
      </c>
      <c r="D92" s="363">
        <v>900</v>
      </c>
      <c r="E92" s="360"/>
      <c r="F92" s="363">
        <v>1050</v>
      </c>
      <c r="G92" s="363"/>
      <c r="H92" s="363">
        <v>900</v>
      </c>
      <c r="I92" s="363"/>
      <c r="J92" s="363">
        <v>2850</v>
      </c>
      <c r="K92" s="361"/>
      <c r="N92" t="s">
        <v>913</v>
      </c>
    </row>
    <row r="93" spans="1:14" x14ac:dyDescent="0.25">
      <c r="A93" s="364" t="s">
        <v>914</v>
      </c>
      <c r="B93" t="s">
        <v>915</v>
      </c>
      <c r="C93" t="s">
        <v>915</v>
      </c>
      <c r="D93" s="363">
        <v>647.14285714285711</v>
      </c>
      <c r="E93" s="360"/>
      <c r="F93" s="363">
        <v>755</v>
      </c>
      <c r="G93" s="363"/>
      <c r="H93" s="363">
        <v>647.14285714285711</v>
      </c>
      <c r="I93" s="363"/>
      <c r="J93" s="363">
        <v>2049.2857142857142</v>
      </c>
      <c r="K93" s="361"/>
      <c r="N93" t="s">
        <v>915</v>
      </c>
    </row>
    <row r="94" spans="1:14" hidden="1" x14ac:dyDescent="0.25">
      <c r="A94" s="364" t="s">
        <v>376</v>
      </c>
      <c r="B94">
        <v>205947</v>
      </c>
      <c r="C94" t="s">
        <v>916</v>
      </c>
      <c r="D94" s="363">
        <v>0</v>
      </c>
      <c r="E94" s="360"/>
      <c r="F94" s="363">
        <v>0</v>
      </c>
      <c r="G94" s="363"/>
      <c r="H94" s="363">
        <v>0</v>
      </c>
      <c r="I94" s="363"/>
      <c r="J94" s="363">
        <v>0</v>
      </c>
      <c r="K94" s="361"/>
      <c r="N94" t="s">
        <v>916</v>
      </c>
    </row>
    <row r="95" spans="1:14" hidden="1" x14ac:dyDescent="0.25">
      <c r="A95" s="364" t="s">
        <v>379</v>
      </c>
      <c r="B95" t="s">
        <v>378</v>
      </c>
      <c r="C95" t="s">
        <v>917</v>
      </c>
      <c r="D95" s="363">
        <v>180</v>
      </c>
      <c r="E95" s="360"/>
      <c r="F95" s="363">
        <v>210</v>
      </c>
      <c r="G95" s="363"/>
      <c r="H95" s="363">
        <v>180</v>
      </c>
      <c r="I95" s="363"/>
      <c r="J95" s="363">
        <v>570</v>
      </c>
      <c r="K95" s="361"/>
      <c r="N95" t="s">
        <v>917</v>
      </c>
    </row>
    <row r="96" spans="1:14" x14ac:dyDescent="0.25">
      <c r="A96" s="364" t="s">
        <v>377</v>
      </c>
      <c r="B96" t="s">
        <v>918</v>
      </c>
      <c r="C96" t="s">
        <v>918</v>
      </c>
      <c r="D96" s="363">
        <v>0</v>
      </c>
      <c r="E96" s="360"/>
      <c r="F96" s="363">
        <v>0</v>
      </c>
      <c r="G96" s="363"/>
      <c r="H96" s="363">
        <v>0</v>
      </c>
      <c r="I96" s="363"/>
      <c r="J96" s="363">
        <v>0</v>
      </c>
      <c r="K96" s="361"/>
      <c r="N96" t="s">
        <v>918</v>
      </c>
    </row>
    <row r="97" spans="1:14" x14ac:dyDescent="0.25">
      <c r="A97" s="364" t="s">
        <v>1078</v>
      </c>
      <c r="B97" t="s">
        <v>1066</v>
      </c>
      <c r="C97" t="s">
        <v>1066</v>
      </c>
      <c r="D97" s="363">
        <v>900</v>
      </c>
      <c r="E97" s="360"/>
      <c r="F97" s="363">
        <v>1050</v>
      </c>
      <c r="G97" s="363"/>
      <c r="H97" s="363">
        <v>900</v>
      </c>
      <c r="I97" s="363"/>
      <c r="J97" s="363">
        <v>2850</v>
      </c>
      <c r="K97" s="361"/>
      <c r="N97" t="s">
        <v>1066</v>
      </c>
    </row>
    <row r="98" spans="1:14" hidden="1" x14ac:dyDescent="0.25">
      <c r="A98" s="364" t="s">
        <v>1079</v>
      </c>
      <c r="B98" t="s">
        <v>382</v>
      </c>
      <c r="C98" t="s">
        <v>919</v>
      </c>
      <c r="D98" s="363">
        <v>540</v>
      </c>
      <c r="E98" s="360"/>
      <c r="F98" s="363">
        <v>630</v>
      </c>
      <c r="G98" s="363"/>
      <c r="H98" s="363">
        <v>540</v>
      </c>
      <c r="I98" s="363"/>
      <c r="J98" s="363">
        <v>1710</v>
      </c>
      <c r="K98" s="361"/>
      <c r="N98" t="s">
        <v>919</v>
      </c>
    </row>
    <row r="99" spans="1:14" hidden="1" x14ac:dyDescent="0.25">
      <c r="A99" s="364" t="s">
        <v>386</v>
      </c>
      <c r="B99" t="s">
        <v>385</v>
      </c>
      <c r="C99" t="s">
        <v>920</v>
      </c>
      <c r="D99" s="363">
        <v>0</v>
      </c>
      <c r="E99" s="360"/>
      <c r="F99" s="363">
        <v>0</v>
      </c>
      <c r="G99" s="363"/>
      <c r="H99" s="363">
        <v>0</v>
      </c>
      <c r="I99" s="363"/>
      <c r="J99" s="363">
        <v>0</v>
      </c>
      <c r="K99" s="361"/>
      <c r="N99" t="s">
        <v>920</v>
      </c>
    </row>
    <row r="100" spans="1:14" hidden="1" x14ac:dyDescent="0.25">
      <c r="A100" s="364" t="s">
        <v>388</v>
      </c>
      <c r="B100" t="s">
        <v>387</v>
      </c>
      <c r="C100" t="s">
        <v>921</v>
      </c>
      <c r="D100" s="363">
        <v>540</v>
      </c>
      <c r="E100" s="360"/>
      <c r="F100" s="363">
        <v>630</v>
      </c>
      <c r="G100" s="363"/>
      <c r="H100" s="363">
        <v>540</v>
      </c>
      <c r="I100" s="363"/>
      <c r="J100" s="363">
        <v>1710</v>
      </c>
      <c r="K100" s="361"/>
      <c r="N100" t="s">
        <v>921</v>
      </c>
    </row>
    <row r="101" spans="1:14" hidden="1" x14ac:dyDescent="0.25">
      <c r="A101" s="364" t="s">
        <v>390</v>
      </c>
      <c r="B101" t="s">
        <v>389</v>
      </c>
      <c r="C101" t="s">
        <v>922</v>
      </c>
      <c r="D101" s="363">
        <v>360</v>
      </c>
      <c r="E101" s="360"/>
      <c r="F101" s="363">
        <v>420</v>
      </c>
      <c r="G101" s="363"/>
      <c r="H101" s="363">
        <v>360</v>
      </c>
      <c r="I101" s="363"/>
      <c r="J101" s="363">
        <v>1140</v>
      </c>
      <c r="K101" s="361"/>
      <c r="N101" t="s">
        <v>922</v>
      </c>
    </row>
    <row r="102" spans="1:14" x14ac:dyDescent="0.25">
      <c r="A102" s="364" t="s">
        <v>758</v>
      </c>
      <c r="B102" t="s">
        <v>923</v>
      </c>
      <c r="C102" t="s">
        <v>923</v>
      </c>
      <c r="D102" s="363">
        <v>0</v>
      </c>
      <c r="E102" s="360"/>
      <c r="F102" s="363">
        <v>0</v>
      </c>
      <c r="G102" s="363"/>
      <c r="H102" s="363">
        <v>0</v>
      </c>
      <c r="I102" s="363"/>
      <c r="J102" s="363">
        <v>0</v>
      </c>
      <c r="K102" s="361"/>
      <c r="N102" t="s">
        <v>923</v>
      </c>
    </row>
    <row r="103" spans="1:14" x14ac:dyDescent="0.25">
      <c r="A103" s="364" t="s">
        <v>757</v>
      </c>
      <c r="B103" t="s">
        <v>924</v>
      </c>
      <c r="C103" t="s">
        <v>924</v>
      </c>
      <c r="D103" s="363">
        <v>180</v>
      </c>
      <c r="E103" s="360"/>
      <c r="F103" s="363">
        <v>210</v>
      </c>
      <c r="G103" s="363"/>
      <c r="H103" s="363">
        <v>180</v>
      </c>
      <c r="I103" s="363"/>
      <c r="J103" s="363">
        <v>570</v>
      </c>
      <c r="K103" s="361"/>
      <c r="N103" t="s">
        <v>924</v>
      </c>
    </row>
    <row r="104" spans="1:14" hidden="1" x14ac:dyDescent="0.25">
      <c r="A104" s="364" t="s">
        <v>393</v>
      </c>
      <c r="B104">
        <v>639307</v>
      </c>
      <c r="C104" t="s">
        <v>925</v>
      </c>
      <c r="D104" s="363">
        <v>0</v>
      </c>
      <c r="E104" s="360"/>
      <c r="F104" s="363">
        <v>0</v>
      </c>
      <c r="G104" s="363"/>
      <c r="H104" s="363">
        <v>0</v>
      </c>
      <c r="I104" s="363"/>
      <c r="J104" s="363">
        <v>0</v>
      </c>
      <c r="K104" s="361"/>
      <c r="N104" t="s">
        <v>925</v>
      </c>
    </row>
    <row r="105" spans="1:14" x14ac:dyDescent="0.25">
      <c r="A105" s="364" t="s">
        <v>394</v>
      </c>
      <c r="B105" t="s">
        <v>926</v>
      </c>
      <c r="C105" t="s">
        <v>926</v>
      </c>
      <c r="D105" s="363">
        <v>180</v>
      </c>
      <c r="E105" s="360"/>
      <c r="F105" s="363">
        <v>210</v>
      </c>
      <c r="G105" s="363"/>
      <c r="H105" s="363">
        <v>180</v>
      </c>
      <c r="I105" s="363"/>
      <c r="J105" s="363">
        <v>570</v>
      </c>
      <c r="K105" s="361"/>
      <c r="N105" t="s">
        <v>926</v>
      </c>
    </row>
    <row r="106" spans="1:14" x14ac:dyDescent="0.25">
      <c r="A106" s="364" t="s">
        <v>395</v>
      </c>
      <c r="B106" t="s">
        <v>927</v>
      </c>
      <c r="C106" t="s">
        <v>927</v>
      </c>
      <c r="D106" s="363">
        <v>745.71428571428578</v>
      </c>
      <c r="E106" s="360"/>
      <c r="F106" s="363">
        <v>870</v>
      </c>
      <c r="G106" s="363"/>
      <c r="H106" s="363">
        <v>745.71428571428578</v>
      </c>
      <c r="I106" s="363"/>
      <c r="J106" s="363">
        <v>2361.4285714285716</v>
      </c>
      <c r="K106" s="361"/>
      <c r="N106" t="s">
        <v>927</v>
      </c>
    </row>
    <row r="107" spans="1:14" hidden="1" x14ac:dyDescent="0.25">
      <c r="A107" s="364" t="s">
        <v>396</v>
      </c>
      <c r="B107">
        <v>2559906</v>
      </c>
      <c r="C107" t="s">
        <v>928</v>
      </c>
      <c r="D107" s="363">
        <v>180</v>
      </c>
      <c r="E107" s="360"/>
      <c r="F107" s="363">
        <v>210</v>
      </c>
      <c r="G107" s="363"/>
      <c r="H107" s="363">
        <v>180</v>
      </c>
      <c r="I107" s="363"/>
      <c r="J107" s="363">
        <v>570</v>
      </c>
      <c r="K107" s="361"/>
      <c r="N107" t="s">
        <v>928</v>
      </c>
    </row>
    <row r="108" spans="1:14" x14ac:dyDescent="0.25">
      <c r="A108" s="364" t="s">
        <v>929</v>
      </c>
      <c r="B108" t="s">
        <v>930</v>
      </c>
      <c r="C108" t="s">
        <v>930</v>
      </c>
      <c r="D108" s="363">
        <v>300</v>
      </c>
      <c r="E108" s="360"/>
      <c r="F108" s="363">
        <v>350</v>
      </c>
      <c r="G108" s="363"/>
      <c r="H108" s="363">
        <v>300</v>
      </c>
      <c r="I108" s="363"/>
      <c r="J108" s="363">
        <v>950</v>
      </c>
      <c r="K108" s="361"/>
      <c r="N108" t="s">
        <v>930</v>
      </c>
    </row>
    <row r="109" spans="1:14" x14ac:dyDescent="0.25">
      <c r="A109" s="364" t="s">
        <v>1067</v>
      </c>
      <c r="B109" t="s">
        <v>1068</v>
      </c>
      <c r="C109" t="s">
        <v>1068</v>
      </c>
      <c r="D109" s="363">
        <v>180</v>
      </c>
      <c r="E109" s="360"/>
      <c r="F109" s="363">
        <v>210</v>
      </c>
      <c r="G109" s="363"/>
      <c r="H109" s="363">
        <v>180</v>
      </c>
      <c r="I109" s="363"/>
      <c r="J109" s="363">
        <v>570</v>
      </c>
      <c r="K109" s="361"/>
      <c r="N109" t="s">
        <v>1068</v>
      </c>
    </row>
    <row r="110" spans="1:14" hidden="1" x14ac:dyDescent="0.25">
      <c r="A110" s="364" t="s">
        <v>401</v>
      </c>
      <c r="B110" t="s">
        <v>400</v>
      </c>
      <c r="C110" t="s">
        <v>931</v>
      </c>
      <c r="D110" s="363">
        <v>180</v>
      </c>
      <c r="E110" s="360"/>
      <c r="F110" s="363">
        <v>210</v>
      </c>
      <c r="G110" s="363"/>
      <c r="H110" s="363">
        <v>180</v>
      </c>
      <c r="I110" s="363"/>
      <c r="J110" s="363">
        <v>570</v>
      </c>
      <c r="K110" s="361"/>
      <c r="N110" t="s">
        <v>931</v>
      </c>
    </row>
    <row r="111" spans="1:14" hidden="1" x14ac:dyDescent="0.25">
      <c r="A111" s="364" t="s">
        <v>403</v>
      </c>
      <c r="B111" t="s">
        <v>402</v>
      </c>
      <c r="C111" t="s">
        <v>932</v>
      </c>
      <c r="D111" s="363">
        <v>807.42857142857156</v>
      </c>
      <c r="E111" s="360"/>
      <c r="F111" s="363">
        <v>942</v>
      </c>
      <c r="G111" s="363"/>
      <c r="H111" s="363">
        <v>807.42857142857156</v>
      </c>
      <c r="I111" s="363"/>
      <c r="J111" s="363">
        <v>2556.8571428571431</v>
      </c>
      <c r="K111" s="361"/>
      <c r="N111" t="s">
        <v>932</v>
      </c>
    </row>
    <row r="112" spans="1:14" hidden="1" x14ac:dyDescent="0.25">
      <c r="A112" s="364" t="s">
        <v>404</v>
      </c>
      <c r="B112">
        <v>205881</v>
      </c>
      <c r="C112" t="s">
        <v>933</v>
      </c>
      <c r="D112" s="363">
        <v>1195.7142857142858</v>
      </c>
      <c r="E112" s="360"/>
      <c r="F112" s="363">
        <v>1395</v>
      </c>
      <c r="G112" s="363"/>
      <c r="H112" s="363">
        <v>1195.7142857142858</v>
      </c>
      <c r="I112" s="363"/>
      <c r="J112" s="363">
        <v>3786.4285714285716</v>
      </c>
      <c r="K112" s="361"/>
      <c r="N112" t="s">
        <v>933</v>
      </c>
    </row>
    <row r="113" spans="1:14" hidden="1" x14ac:dyDescent="0.25">
      <c r="A113" s="364" t="s">
        <v>406</v>
      </c>
      <c r="B113" t="s">
        <v>405</v>
      </c>
      <c r="C113" t="s">
        <v>934</v>
      </c>
      <c r="D113" s="363">
        <v>450</v>
      </c>
      <c r="E113" s="360"/>
      <c r="F113" s="363">
        <v>525</v>
      </c>
      <c r="G113" s="363"/>
      <c r="H113" s="363">
        <v>450</v>
      </c>
      <c r="I113" s="363"/>
      <c r="J113" s="363">
        <v>1425</v>
      </c>
      <c r="K113" s="361"/>
      <c r="N113" t="s">
        <v>934</v>
      </c>
    </row>
    <row r="114" spans="1:14" hidden="1" x14ac:dyDescent="0.25">
      <c r="A114" s="364" t="s">
        <v>408</v>
      </c>
      <c r="B114" t="s">
        <v>407</v>
      </c>
      <c r="C114" t="s">
        <v>935</v>
      </c>
      <c r="D114" s="363">
        <v>360</v>
      </c>
      <c r="E114" s="360"/>
      <c r="F114" s="363">
        <v>420</v>
      </c>
      <c r="G114" s="363"/>
      <c r="H114" s="363">
        <v>360</v>
      </c>
      <c r="I114" s="363"/>
      <c r="J114" s="363">
        <v>1140</v>
      </c>
      <c r="K114" s="361"/>
      <c r="N114" t="s">
        <v>935</v>
      </c>
    </row>
    <row r="115" spans="1:14" hidden="1" x14ac:dyDescent="0.25">
      <c r="A115" s="364" t="s">
        <v>410</v>
      </c>
      <c r="B115" t="s">
        <v>409</v>
      </c>
      <c r="C115" t="s">
        <v>936</v>
      </c>
      <c r="D115" s="363">
        <v>360</v>
      </c>
      <c r="E115" s="360"/>
      <c r="F115" s="363">
        <v>420</v>
      </c>
      <c r="G115" s="363"/>
      <c r="H115" s="363">
        <v>360</v>
      </c>
      <c r="I115" s="363"/>
      <c r="J115" s="363">
        <v>1140</v>
      </c>
      <c r="K115" s="361"/>
      <c r="N115" t="s">
        <v>936</v>
      </c>
    </row>
    <row r="116" spans="1:14" x14ac:dyDescent="0.25">
      <c r="A116" s="364" t="s">
        <v>411</v>
      </c>
      <c r="B116" t="s">
        <v>1047</v>
      </c>
      <c r="C116" t="s">
        <v>1047</v>
      </c>
      <c r="D116" s="363">
        <v>360</v>
      </c>
      <c r="E116" s="360"/>
      <c r="F116" s="363">
        <v>420</v>
      </c>
      <c r="G116" s="363"/>
      <c r="H116" s="363">
        <v>360</v>
      </c>
      <c r="I116" s="363"/>
      <c r="J116" s="363">
        <v>1140</v>
      </c>
      <c r="K116" s="361"/>
      <c r="N116" t="s">
        <v>1047</v>
      </c>
    </row>
    <row r="117" spans="1:14" hidden="1" x14ac:dyDescent="0.25">
      <c r="A117" s="364" t="s">
        <v>413</v>
      </c>
      <c r="B117" t="s">
        <v>412</v>
      </c>
      <c r="C117" t="s">
        <v>937</v>
      </c>
      <c r="D117" s="363">
        <v>360</v>
      </c>
      <c r="E117" s="360"/>
      <c r="F117" s="363">
        <v>420</v>
      </c>
      <c r="G117" s="363"/>
      <c r="H117" s="363">
        <v>360</v>
      </c>
      <c r="I117" s="363"/>
      <c r="J117" s="363">
        <v>1140</v>
      </c>
      <c r="K117" s="361"/>
      <c r="N117" t="s">
        <v>937</v>
      </c>
    </row>
    <row r="118" spans="1:14" x14ac:dyDescent="0.25">
      <c r="A118" s="364" t="s">
        <v>1048</v>
      </c>
      <c r="B118" t="s">
        <v>1049</v>
      </c>
      <c r="C118" t="s">
        <v>1049</v>
      </c>
      <c r="D118" s="363">
        <v>360</v>
      </c>
      <c r="E118" s="360"/>
      <c r="F118" s="363">
        <v>420</v>
      </c>
      <c r="G118" s="363"/>
      <c r="H118" s="363">
        <v>360</v>
      </c>
      <c r="I118" s="363"/>
      <c r="J118" s="363">
        <v>1140</v>
      </c>
      <c r="K118" s="361"/>
      <c r="N118" t="s">
        <v>1049</v>
      </c>
    </row>
    <row r="119" spans="1:14" x14ac:dyDescent="0.25">
      <c r="A119" s="364" t="s">
        <v>419</v>
      </c>
      <c r="B119" t="s">
        <v>938</v>
      </c>
      <c r="C119" t="s">
        <v>938</v>
      </c>
      <c r="D119" s="363">
        <v>168</v>
      </c>
      <c r="E119" s="360"/>
      <c r="F119" s="363">
        <v>196</v>
      </c>
      <c r="G119" s="363"/>
      <c r="H119" s="363">
        <v>168</v>
      </c>
      <c r="I119" s="363"/>
      <c r="J119" s="363">
        <v>532</v>
      </c>
      <c r="K119" s="361"/>
      <c r="N119" t="s">
        <v>938</v>
      </c>
    </row>
    <row r="120" spans="1:14" hidden="1" x14ac:dyDescent="0.25">
      <c r="A120" s="364" t="s">
        <v>424</v>
      </c>
      <c r="B120">
        <v>205878</v>
      </c>
      <c r="C120" t="s">
        <v>939</v>
      </c>
      <c r="D120" s="363">
        <v>1080</v>
      </c>
      <c r="E120" s="360"/>
      <c r="F120" s="363">
        <v>1260</v>
      </c>
      <c r="G120" s="363"/>
      <c r="H120" s="363">
        <v>1080</v>
      </c>
      <c r="I120" s="363"/>
      <c r="J120" s="363">
        <v>3420</v>
      </c>
      <c r="K120" s="361"/>
      <c r="N120" t="s">
        <v>939</v>
      </c>
    </row>
    <row r="121" spans="1:14" x14ac:dyDescent="0.25">
      <c r="A121" s="364" t="s">
        <v>940</v>
      </c>
      <c r="B121" t="s">
        <v>941</v>
      </c>
      <c r="C121" t="s">
        <v>941</v>
      </c>
      <c r="D121" s="363">
        <v>0</v>
      </c>
      <c r="E121" s="360"/>
      <c r="F121" s="363">
        <v>0</v>
      </c>
      <c r="G121" s="363"/>
      <c r="H121" s="363">
        <v>0</v>
      </c>
      <c r="I121" s="363"/>
      <c r="J121" s="363">
        <v>0</v>
      </c>
      <c r="K121" s="361"/>
      <c r="N121" t="s">
        <v>941</v>
      </c>
    </row>
    <row r="122" spans="1:14" x14ac:dyDescent="0.25">
      <c r="A122" s="364" t="s">
        <v>942</v>
      </c>
      <c r="B122" t="s">
        <v>943</v>
      </c>
      <c r="C122" t="s">
        <v>943</v>
      </c>
      <c r="D122" s="363">
        <v>540</v>
      </c>
      <c r="E122" s="360"/>
      <c r="F122" s="363">
        <v>630</v>
      </c>
      <c r="G122" s="363"/>
      <c r="H122" s="363">
        <v>540</v>
      </c>
      <c r="I122" s="363"/>
      <c r="J122" s="363">
        <v>1710</v>
      </c>
      <c r="K122" s="361"/>
      <c r="N122" t="s">
        <v>943</v>
      </c>
    </row>
    <row r="123" spans="1:14" hidden="1" x14ac:dyDescent="0.25">
      <c r="A123" s="364" t="s">
        <v>426</v>
      </c>
      <c r="B123" t="s">
        <v>425</v>
      </c>
      <c r="C123" t="s">
        <v>944</v>
      </c>
      <c r="D123" s="363">
        <v>0</v>
      </c>
      <c r="E123" s="360"/>
      <c r="F123" s="363">
        <v>0</v>
      </c>
      <c r="G123" s="363"/>
      <c r="H123" s="363">
        <v>0</v>
      </c>
      <c r="I123" s="363"/>
      <c r="J123" s="363">
        <v>0</v>
      </c>
      <c r="K123" s="361"/>
      <c r="N123" t="s">
        <v>944</v>
      </c>
    </row>
    <row r="124" spans="1:14" hidden="1" x14ac:dyDescent="0.25">
      <c r="A124" s="364" t="s">
        <v>428</v>
      </c>
      <c r="B124" t="s">
        <v>427</v>
      </c>
      <c r="C124" t="s">
        <v>945</v>
      </c>
      <c r="D124" s="363">
        <v>360</v>
      </c>
      <c r="E124" s="360"/>
      <c r="F124" s="363">
        <v>420</v>
      </c>
      <c r="G124" s="363"/>
      <c r="H124" s="363">
        <v>360</v>
      </c>
      <c r="I124" s="363"/>
      <c r="J124" s="363">
        <v>1140</v>
      </c>
      <c r="K124" s="361"/>
      <c r="N124" t="s">
        <v>945</v>
      </c>
    </row>
    <row r="125" spans="1:14" x14ac:dyDescent="0.25">
      <c r="A125" s="364" t="s">
        <v>429</v>
      </c>
      <c r="B125" t="s">
        <v>946</v>
      </c>
      <c r="C125" t="s">
        <v>946</v>
      </c>
      <c r="D125" s="363">
        <v>120</v>
      </c>
      <c r="E125" s="360"/>
      <c r="F125" s="363">
        <v>140</v>
      </c>
      <c r="G125" s="363"/>
      <c r="H125" s="363">
        <v>120</v>
      </c>
      <c r="I125" s="363"/>
      <c r="J125" s="363">
        <v>380</v>
      </c>
      <c r="K125" s="361"/>
      <c r="N125" t="s">
        <v>946</v>
      </c>
    </row>
    <row r="126" spans="1:14" hidden="1" x14ac:dyDescent="0.25">
      <c r="A126" s="364" t="s">
        <v>430</v>
      </c>
      <c r="B126" t="s">
        <v>682</v>
      </c>
      <c r="C126" t="s">
        <v>682</v>
      </c>
      <c r="D126" s="363">
        <v>450</v>
      </c>
      <c r="E126" s="360"/>
      <c r="F126" s="363">
        <v>525</v>
      </c>
      <c r="G126" s="363"/>
      <c r="H126" s="363">
        <v>450</v>
      </c>
      <c r="I126" s="363"/>
      <c r="J126" s="363">
        <v>1425</v>
      </c>
      <c r="K126" s="361"/>
      <c r="N126" t="s">
        <v>682</v>
      </c>
    </row>
    <row r="127" spans="1:14" hidden="1" x14ac:dyDescent="0.25">
      <c r="A127" s="364" t="s">
        <v>434</v>
      </c>
      <c r="B127" t="s">
        <v>433</v>
      </c>
      <c r="C127" t="s">
        <v>947</v>
      </c>
      <c r="D127" s="363">
        <v>480</v>
      </c>
      <c r="E127" s="360"/>
      <c r="F127" s="363">
        <v>560</v>
      </c>
      <c r="G127" s="363"/>
      <c r="H127" s="363">
        <v>480</v>
      </c>
      <c r="I127" s="363"/>
      <c r="J127" s="363">
        <v>1520</v>
      </c>
      <c r="K127" s="361"/>
      <c r="N127" t="s">
        <v>947</v>
      </c>
    </row>
    <row r="128" spans="1:14" hidden="1" x14ac:dyDescent="0.25">
      <c r="A128" s="364" t="s">
        <v>436</v>
      </c>
      <c r="B128" t="s">
        <v>435</v>
      </c>
      <c r="C128" t="s">
        <v>948</v>
      </c>
      <c r="D128" s="363">
        <v>360</v>
      </c>
      <c r="E128" s="360"/>
      <c r="F128" s="363">
        <v>420</v>
      </c>
      <c r="G128" s="363"/>
      <c r="H128" s="363">
        <v>360</v>
      </c>
      <c r="I128" s="363"/>
      <c r="J128" s="363">
        <v>1140</v>
      </c>
      <c r="K128" s="361"/>
      <c r="N128" t="s">
        <v>948</v>
      </c>
    </row>
    <row r="129" spans="1:14" hidden="1" x14ac:dyDescent="0.25">
      <c r="A129" s="364" t="s">
        <v>438</v>
      </c>
      <c r="B129" t="s">
        <v>684</v>
      </c>
      <c r="C129" t="s">
        <v>684</v>
      </c>
      <c r="D129" s="363">
        <v>180</v>
      </c>
      <c r="E129" s="360"/>
      <c r="F129" s="363">
        <v>210</v>
      </c>
      <c r="G129" s="363"/>
      <c r="H129" s="363">
        <v>180</v>
      </c>
      <c r="I129" s="363"/>
      <c r="J129" s="363">
        <v>570</v>
      </c>
      <c r="K129" s="361"/>
      <c r="N129" t="s">
        <v>684</v>
      </c>
    </row>
    <row r="130" spans="1:14" hidden="1" x14ac:dyDescent="0.25">
      <c r="A130" s="364" t="s">
        <v>440</v>
      </c>
      <c r="B130" t="s">
        <v>439</v>
      </c>
      <c r="C130" t="s">
        <v>949</v>
      </c>
      <c r="D130" s="363">
        <v>360</v>
      </c>
      <c r="E130" s="360"/>
      <c r="F130" s="363">
        <v>420</v>
      </c>
      <c r="G130" s="363"/>
      <c r="H130" s="363">
        <v>360</v>
      </c>
      <c r="I130" s="363"/>
      <c r="J130" s="363">
        <v>1140</v>
      </c>
      <c r="K130" s="361"/>
      <c r="N130" t="s">
        <v>949</v>
      </c>
    </row>
    <row r="131" spans="1:14" hidden="1" x14ac:dyDescent="0.25">
      <c r="A131" s="364" t="s">
        <v>444</v>
      </c>
      <c r="B131" t="s">
        <v>443</v>
      </c>
      <c r="C131" t="s">
        <v>950</v>
      </c>
      <c r="D131" s="363">
        <v>360</v>
      </c>
      <c r="E131" s="360"/>
      <c r="F131" s="363">
        <v>420</v>
      </c>
      <c r="G131" s="363"/>
      <c r="H131" s="363">
        <v>360</v>
      </c>
      <c r="I131" s="363"/>
      <c r="J131" s="363">
        <v>1140</v>
      </c>
      <c r="K131" s="361"/>
      <c r="N131" t="s">
        <v>950</v>
      </c>
    </row>
    <row r="132" spans="1:14" hidden="1" x14ac:dyDescent="0.25">
      <c r="A132" s="364" t="s">
        <v>446</v>
      </c>
      <c r="B132" t="s">
        <v>445</v>
      </c>
      <c r="C132" t="s">
        <v>951</v>
      </c>
      <c r="D132" s="363">
        <v>514.28571428571422</v>
      </c>
      <c r="E132" s="360"/>
      <c r="F132" s="363">
        <v>600</v>
      </c>
      <c r="G132" s="363"/>
      <c r="H132" s="363">
        <v>514.28571428571422</v>
      </c>
      <c r="I132" s="363"/>
      <c r="J132" s="363">
        <v>1628.5714285714284</v>
      </c>
      <c r="K132" s="361"/>
      <c r="N132" t="s">
        <v>951</v>
      </c>
    </row>
    <row r="133" spans="1:14" hidden="1" x14ac:dyDescent="0.25">
      <c r="A133" s="364" t="s">
        <v>448</v>
      </c>
      <c r="B133" t="s">
        <v>447</v>
      </c>
      <c r="C133" t="s">
        <v>952</v>
      </c>
      <c r="D133" s="363">
        <v>0</v>
      </c>
      <c r="E133" s="360"/>
      <c r="F133" s="363">
        <v>0</v>
      </c>
      <c r="G133" s="363"/>
      <c r="H133" s="363">
        <v>0</v>
      </c>
      <c r="I133" s="363"/>
      <c r="J133" s="363">
        <v>0</v>
      </c>
      <c r="K133" s="361"/>
      <c r="N133" t="s">
        <v>952</v>
      </c>
    </row>
    <row r="134" spans="1:14" hidden="1" x14ac:dyDescent="0.25">
      <c r="A134" s="364" t="s">
        <v>449</v>
      </c>
      <c r="B134">
        <v>206046</v>
      </c>
      <c r="C134" t="s">
        <v>953</v>
      </c>
      <c r="D134" s="363">
        <v>1428</v>
      </c>
      <c r="E134" s="360"/>
      <c r="F134" s="363">
        <v>1666</v>
      </c>
      <c r="G134" s="363"/>
      <c r="H134" s="363">
        <v>1428</v>
      </c>
      <c r="I134" s="363"/>
      <c r="J134" s="363">
        <v>4522</v>
      </c>
      <c r="K134" s="361"/>
      <c r="N134" t="s">
        <v>953</v>
      </c>
    </row>
    <row r="135" spans="1:14" x14ac:dyDescent="0.25">
      <c r="A135" s="364" t="s">
        <v>451</v>
      </c>
      <c r="B135" t="s">
        <v>954</v>
      </c>
      <c r="C135" t="s">
        <v>954</v>
      </c>
      <c r="D135" s="363">
        <v>270</v>
      </c>
      <c r="E135" s="360"/>
      <c r="F135" s="363">
        <v>315</v>
      </c>
      <c r="G135" s="363"/>
      <c r="H135" s="363">
        <v>270</v>
      </c>
      <c r="I135" s="363"/>
      <c r="J135" s="363">
        <v>855</v>
      </c>
      <c r="K135" s="361"/>
      <c r="N135" t="s">
        <v>954</v>
      </c>
    </row>
    <row r="136" spans="1:14" hidden="1" x14ac:dyDescent="0.25">
      <c r="A136" s="364" t="s">
        <v>453</v>
      </c>
      <c r="B136" t="s">
        <v>452</v>
      </c>
      <c r="C136" t="s">
        <v>955</v>
      </c>
      <c r="D136" s="363">
        <v>0</v>
      </c>
      <c r="E136" s="360"/>
      <c r="F136" s="363">
        <v>0</v>
      </c>
      <c r="G136" s="363"/>
      <c r="H136" s="363">
        <v>0</v>
      </c>
      <c r="I136" s="363"/>
      <c r="J136" s="363">
        <v>0</v>
      </c>
      <c r="K136" s="361"/>
      <c r="N136" t="s">
        <v>955</v>
      </c>
    </row>
    <row r="137" spans="1:14" hidden="1" x14ac:dyDescent="0.25">
      <c r="A137" s="364" t="s">
        <v>457</v>
      </c>
      <c r="B137">
        <v>205978</v>
      </c>
      <c r="C137" t="s">
        <v>956</v>
      </c>
      <c r="D137" s="363">
        <v>822</v>
      </c>
      <c r="E137" s="360"/>
      <c r="F137" s="363">
        <v>959</v>
      </c>
      <c r="G137" s="363"/>
      <c r="H137" s="363">
        <v>822</v>
      </c>
      <c r="I137" s="363"/>
      <c r="J137" s="363">
        <v>2603</v>
      </c>
      <c r="K137" s="361"/>
      <c r="N137" t="s">
        <v>956</v>
      </c>
    </row>
    <row r="138" spans="1:14" x14ac:dyDescent="0.25">
      <c r="A138" s="364" t="s">
        <v>957</v>
      </c>
      <c r="B138" t="s">
        <v>958</v>
      </c>
      <c r="C138" t="s">
        <v>958</v>
      </c>
      <c r="D138" s="363">
        <v>180</v>
      </c>
      <c r="E138" s="360"/>
      <c r="F138" s="363">
        <v>210</v>
      </c>
      <c r="G138" s="363"/>
      <c r="H138" s="363">
        <v>180</v>
      </c>
      <c r="I138" s="363"/>
      <c r="J138" s="363">
        <v>570</v>
      </c>
      <c r="K138" s="361"/>
      <c r="N138" t="s">
        <v>958</v>
      </c>
    </row>
    <row r="139" spans="1:14" x14ac:dyDescent="0.25">
      <c r="A139" s="364" t="s">
        <v>1080</v>
      </c>
      <c r="B139" t="s">
        <v>1072</v>
      </c>
      <c r="C139" t="s">
        <v>1072</v>
      </c>
      <c r="D139" s="363">
        <v>360</v>
      </c>
      <c r="E139" s="360"/>
      <c r="F139" s="363">
        <v>420</v>
      </c>
      <c r="G139" s="363"/>
      <c r="H139" s="363">
        <v>360</v>
      </c>
      <c r="I139" s="363"/>
      <c r="J139" s="363">
        <v>1140</v>
      </c>
      <c r="K139" s="361"/>
      <c r="N139" t="s">
        <v>1072</v>
      </c>
    </row>
    <row r="140" spans="1:14" x14ac:dyDescent="0.25">
      <c r="A140" s="364" t="s">
        <v>1081</v>
      </c>
      <c r="B140" t="s">
        <v>959</v>
      </c>
      <c r="C140" t="s">
        <v>959</v>
      </c>
      <c r="D140" s="363">
        <v>0</v>
      </c>
      <c r="E140" s="360"/>
      <c r="F140" s="363">
        <v>0</v>
      </c>
      <c r="G140" s="363"/>
      <c r="H140" s="363">
        <v>0</v>
      </c>
      <c r="I140" s="363"/>
      <c r="J140" s="363">
        <v>0</v>
      </c>
      <c r="K140" s="361"/>
      <c r="N140" t="s">
        <v>959</v>
      </c>
    </row>
    <row r="141" spans="1:14" hidden="1" x14ac:dyDescent="0.25">
      <c r="A141" s="364" t="s">
        <v>461</v>
      </c>
      <c r="B141">
        <v>206043</v>
      </c>
      <c r="C141" t="s">
        <v>960</v>
      </c>
      <c r="D141" s="363">
        <v>1026</v>
      </c>
      <c r="E141" s="360"/>
      <c r="F141" s="363">
        <v>1197</v>
      </c>
      <c r="G141" s="363"/>
      <c r="H141" s="363">
        <v>1026</v>
      </c>
      <c r="I141" s="363"/>
      <c r="J141" s="363">
        <v>3249</v>
      </c>
      <c r="K141" s="361"/>
      <c r="N141" t="s">
        <v>960</v>
      </c>
    </row>
    <row r="142" spans="1:14" hidden="1" x14ac:dyDescent="0.25">
      <c r="A142" s="364" t="s">
        <v>463</v>
      </c>
      <c r="B142" t="s">
        <v>462</v>
      </c>
      <c r="C142" t="s">
        <v>961</v>
      </c>
      <c r="D142" s="363">
        <v>360</v>
      </c>
      <c r="E142" s="360"/>
      <c r="F142" s="363">
        <v>420</v>
      </c>
      <c r="G142" s="363"/>
      <c r="H142" s="363">
        <v>360</v>
      </c>
      <c r="I142" s="363"/>
      <c r="J142" s="363">
        <v>1140</v>
      </c>
      <c r="K142" s="361"/>
      <c r="N142" t="s">
        <v>961</v>
      </c>
    </row>
    <row r="143" spans="1:14" x14ac:dyDescent="0.25">
      <c r="A143" s="364" t="s">
        <v>464</v>
      </c>
      <c r="B143" s="381" t="s">
        <v>1082</v>
      </c>
      <c r="C143" s="381" t="s">
        <v>1082</v>
      </c>
      <c r="D143" s="363">
        <v>180</v>
      </c>
      <c r="E143" s="360"/>
      <c r="F143" s="363">
        <v>210</v>
      </c>
      <c r="G143" s="363"/>
      <c r="H143" s="363">
        <v>180</v>
      </c>
      <c r="I143" s="363"/>
      <c r="J143" s="363">
        <v>570</v>
      </c>
      <c r="K143" s="361"/>
      <c r="N143" t="s">
        <v>1082</v>
      </c>
    </row>
    <row r="144" spans="1:14" hidden="1" x14ac:dyDescent="0.25">
      <c r="A144" s="364" t="s">
        <v>466</v>
      </c>
      <c r="B144" t="s">
        <v>465</v>
      </c>
      <c r="C144" t="s">
        <v>962</v>
      </c>
      <c r="D144" s="363">
        <v>0</v>
      </c>
      <c r="E144" s="360"/>
      <c r="F144" s="363">
        <v>0</v>
      </c>
      <c r="G144" s="363"/>
      <c r="H144" s="363">
        <v>0</v>
      </c>
      <c r="I144" s="363"/>
      <c r="J144" s="363">
        <v>0</v>
      </c>
      <c r="K144" s="361"/>
      <c r="N144" t="s">
        <v>962</v>
      </c>
    </row>
    <row r="145" spans="1:14" hidden="1" x14ac:dyDescent="0.25">
      <c r="A145" s="364" t="s">
        <v>468</v>
      </c>
      <c r="B145" t="s">
        <v>467</v>
      </c>
      <c r="C145" t="s">
        <v>963</v>
      </c>
      <c r="D145" s="363">
        <v>360</v>
      </c>
      <c r="E145" s="360"/>
      <c r="F145" s="363">
        <v>420</v>
      </c>
      <c r="G145" s="363"/>
      <c r="H145" s="363">
        <v>360</v>
      </c>
      <c r="I145" s="363"/>
      <c r="J145" s="363">
        <v>1140</v>
      </c>
      <c r="K145" s="361"/>
      <c r="N145" t="s">
        <v>963</v>
      </c>
    </row>
    <row r="146" spans="1:14" hidden="1" x14ac:dyDescent="0.25">
      <c r="A146" s="364" t="s">
        <v>470</v>
      </c>
      <c r="B146" t="s">
        <v>469</v>
      </c>
      <c r="C146" t="s">
        <v>964</v>
      </c>
      <c r="D146" s="363">
        <v>360</v>
      </c>
      <c r="E146" s="360"/>
      <c r="F146" s="363">
        <v>420</v>
      </c>
      <c r="G146" s="363"/>
      <c r="H146" s="363">
        <v>360</v>
      </c>
      <c r="I146" s="363"/>
      <c r="J146" s="363">
        <v>1140</v>
      </c>
      <c r="K146" s="361"/>
      <c r="N146" t="s">
        <v>964</v>
      </c>
    </row>
    <row r="147" spans="1:14" hidden="1" x14ac:dyDescent="0.25">
      <c r="A147" s="364" t="s">
        <v>472</v>
      </c>
      <c r="B147" t="s">
        <v>471</v>
      </c>
      <c r="C147" t="s">
        <v>965</v>
      </c>
      <c r="D147" s="363">
        <v>449.57142857142856</v>
      </c>
      <c r="E147" s="360"/>
      <c r="F147" s="363">
        <v>524.5</v>
      </c>
      <c r="G147" s="363"/>
      <c r="H147" s="363">
        <v>449.57142857142856</v>
      </c>
      <c r="I147" s="363"/>
      <c r="J147" s="363">
        <v>1423.6428571428571</v>
      </c>
      <c r="K147" s="361"/>
      <c r="N147" t="s">
        <v>965</v>
      </c>
    </row>
    <row r="148" spans="1:14" hidden="1" x14ac:dyDescent="0.25">
      <c r="A148" s="364" t="s">
        <v>474</v>
      </c>
      <c r="B148" t="s">
        <v>473</v>
      </c>
      <c r="C148" t="s">
        <v>966</v>
      </c>
      <c r="D148" s="363">
        <v>180</v>
      </c>
      <c r="E148" s="360"/>
      <c r="F148" s="363">
        <v>210</v>
      </c>
      <c r="G148" s="363"/>
      <c r="H148" s="363">
        <v>180</v>
      </c>
      <c r="I148" s="363"/>
      <c r="J148" s="363">
        <v>570</v>
      </c>
      <c r="K148" s="361"/>
      <c r="N148" t="s">
        <v>966</v>
      </c>
    </row>
    <row r="149" spans="1:14" hidden="1" x14ac:dyDescent="0.25">
      <c r="A149" s="364" t="s">
        <v>476</v>
      </c>
      <c r="B149" t="s">
        <v>475</v>
      </c>
      <c r="C149" t="s">
        <v>967</v>
      </c>
      <c r="D149" s="363">
        <v>540</v>
      </c>
      <c r="E149" s="360"/>
      <c r="F149" s="363">
        <v>630</v>
      </c>
      <c r="G149" s="363"/>
      <c r="H149" s="363">
        <v>540</v>
      </c>
      <c r="I149" s="363"/>
      <c r="J149" s="363">
        <v>1710</v>
      </c>
      <c r="K149" s="361"/>
      <c r="N149" t="s">
        <v>967</v>
      </c>
    </row>
    <row r="150" spans="1:14" hidden="1" x14ac:dyDescent="0.25">
      <c r="A150" s="364" t="s">
        <v>478</v>
      </c>
      <c r="B150" t="s">
        <v>477</v>
      </c>
      <c r="C150" t="s">
        <v>968</v>
      </c>
      <c r="D150" s="363">
        <v>180</v>
      </c>
      <c r="E150" s="360"/>
      <c r="F150" s="363">
        <v>210</v>
      </c>
      <c r="G150" s="363"/>
      <c r="H150" s="363">
        <v>180</v>
      </c>
      <c r="I150" s="363"/>
      <c r="J150" s="363">
        <v>570</v>
      </c>
      <c r="K150" s="361"/>
      <c r="N150" t="s">
        <v>968</v>
      </c>
    </row>
    <row r="151" spans="1:14" hidden="1" x14ac:dyDescent="0.25">
      <c r="A151" s="364" t="s">
        <v>480</v>
      </c>
      <c r="B151" t="s">
        <v>479</v>
      </c>
      <c r="C151" t="s">
        <v>969</v>
      </c>
      <c r="D151" s="363">
        <v>0</v>
      </c>
      <c r="E151" s="360"/>
      <c r="F151" s="363">
        <v>0</v>
      </c>
      <c r="G151" s="363"/>
      <c r="H151" s="363">
        <v>0</v>
      </c>
      <c r="I151" s="363"/>
      <c r="J151" s="363">
        <v>0</v>
      </c>
      <c r="K151" s="361"/>
      <c r="N151" t="s">
        <v>969</v>
      </c>
    </row>
    <row r="152" spans="1:14" hidden="1" x14ac:dyDescent="0.25">
      <c r="A152" s="364" t="s">
        <v>482</v>
      </c>
      <c r="B152" t="s">
        <v>481</v>
      </c>
      <c r="C152" t="s">
        <v>972</v>
      </c>
      <c r="D152" s="363">
        <v>0</v>
      </c>
      <c r="E152" s="360"/>
      <c r="F152" s="363">
        <v>0</v>
      </c>
      <c r="G152" s="363"/>
      <c r="H152" s="363">
        <v>0</v>
      </c>
      <c r="I152" s="363"/>
      <c r="J152" s="363">
        <v>0</v>
      </c>
      <c r="K152" s="361"/>
      <c r="N152" t="s">
        <v>972</v>
      </c>
    </row>
    <row r="153" spans="1:14" hidden="1" x14ac:dyDescent="0.25">
      <c r="A153" s="364" t="s">
        <v>484</v>
      </c>
      <c r="B153" t="s">
        <v>483</v>
      </c>
      <c r="C153" t="s">
        <v>973</v>
      </c>
      <c r="D153" s="363">
        <v>541.71428571428578</v>
      </c>
      <c r="E153" s="360"/>
      <c r="F153" s="363">
        <v>632</v>
      </c>
      <c r="G153" s="363"/>
      <c r="H153" s="363">
        <v>541.71428571428578</v>
      </c>
      <c r="I153" s="363"/>
      <c r="J153" s="363">
        <v>1715.4285714285716</v>
      </c>
      <c r="K153" s="361"/>
      <c r="N153" t="s">
        <v>973</v>
      </c>
    </row>
    <row r="154" spans="1:14" hidden="1" x14ac:dyDescent="0.25">
      <c r="A154" s="364" t="s">
        <v>486</v>
      </c>
      <c r="B154" t="s">
        <v>485</v>
      </c>
      <c r="C154" t="s">
        <v>974</v>
      </c>
      <c r="D154" s="363">
        <v>1041.4285714285716</v>
      </c>
      <c r="E154" s="360"/>
      <c r="F154" s="363">
        <v>1215</v>
      </c>
      <c r="G154" s="363"/>
      <c r="H154" s="363">
        <v>1041.4285714285716</v>
      </c>
      <c r="I154" s="363"/>
      <c r="J154" s="363">
        <v>3297.8571428571431</v>
      </c>
      <c r="K154" s="361"/>
      <c r="N154" t="s">
        <v>974</v>
      </c>
    </row>
    <row r="155" spans="1:14" hidden="1" x14ac:dyDescent="0.25">
      <c r="A155" s="364" t="s">
        <v>488</v>
      </c>
      <c r="B155" t="s">
        <v>487</v>
      </c>
      <c r="C155" t="s">
        <v>975</v>
      </c>
      <c r="D155" s="363">
        <v>360</v>
      </c>
      <c r="E155" s="360"/>
      <c r="F155" s="363">
        <v>420</v>
      </c>
      <c r="G155" s="363"/>
      <c r="H155" s="363">
        <v>360</v>
      </c>
      <c r="I155" s="363"/>
      <c r="J155" s="363">
        <v>1140</v>
      </c>
      <c r="K155" s="361"/>
      <c r="N155" t="s">
        <v>975</v>
      </c>
    </row>
    <row r="156" spans="1:14" hidden="1" x14ac:dyDescent="0.25">
      <c r="A156" s="364" t="s">
        <v>492</v>
      </c>
      <c r="B156" t="s">
        <v>491</v>
      </c>
      <c r="C156" t="s">
        <v>976</v>
      </c>
      <c r="D156" s="363">
        <v>0</v>
      </c>
      <c r="E156" s="360"/>
      <c r="F156" s="363">
        <v>0</v>
      </c>
      <c r="G156" s="363"/>
      <c r="H156" s="363">
        <v>0</v>
      </c>
      <c r="I156" s="363"/>
      <c r="J156" s="363">
        <v>0</v>
      </c>
      <c r="K156" s="361"/>
      <c r="N156" t="s">
        <v>976</v>
      </c>
    </row>
    <row r="157" spans="1:14" hidden="1" x14ac:dyDescent="0.25">
      <c r="A157" s="364" t="s">
        <v>494</v>
      </c>
      <c r="B157" t="s">
        <v>493</v>
      </c>
      <c r="C157" t="s">
        <v>977</v>
      </c>
      <c r="D157" s="363">
        <v>180</v>
      </c>
      <c r="E157" s="360"/>
      <c r="F157" s="363">
        <v>210</v>
      </c>
      <c r="G157" s="363"/>
      <c r="H157" s="363">
        <v>180</v>
      </c>
      <c r="I157" s="363"/>
      <c r="J157" s="363">
        <v>570</v>
      </c>
      <c r="K157" s="361"/>
      <c r="N157" t="s">
        <v>977</v>
      </c>
    </row>
    <row r="158" spans="1:14" hidden="1" x14ac:dyDescent="0.25">
      <c r="A158" s="364" t="s">
        <v>495</v>
      </c>
      <c r="B158">
        <v>206106</v>
      </c>
      <c r="C158" t="s">
        <v>978</v>
      </c>
      <c r="D158" s="363">
        <v>1885.3714285714286</v>
      </c>
      <c r="E158" s="360"/>
      <c r="F158" s="363">
        <v>2199.6000000000004</v>
      </c>
      <c r="G158" s="363"/>
      <c r="H158" s="363">
        <v>1885.3714285714286</v>
      </c>
      <c r="I158" s="363"/>
      <c r="J158" s="363">
        <v>5970.3428571428576</v>
      </c>
      <c r="K158" s="361"/>
      <c r="N158" t="s">
        <v>978</v>
      </c>
    </row>
    <row r="159" spans="1:14" hidden="1" x14ac:dyDescent="0.25">
      <c r="A159" s="364" t="s">
        <v>499</v>
      </c>
      <c r="B159" t="s">
        <v>498</v>
      </c>
      <c r="C159" t="s">
        <v>979</v>
      </c>
      <c r="D159" s="363">
        <v>591.42857142857144</v>
      </c>
      <c r="E159" s="360"/>
      <c r="F159" s="363">
        <v>690</v>
      </c>
      <c r="G159" s="363"/>
      <c r="H159" s="363">
        <v>591.42857142857144</v>
      </c>
      <c r="I159" s="363"/>
      <c r="J159" s="363">
        <v>1872.8571428571431</v>
      </c>
      <c r="K159" s="361"/>
      <c r="N159" t="s">
        <v>979</v>
      </c>
    </row>
    <row r="160" spans="1:14" hidden="1" x14ac:dyDescent="0.25">
      <c r="A160" s="364" t="s">
        <v>501</v>
      </c>
      <c r="B160" t="s">
        <v>500</v>
      </c>
      <c r="C160" t="s">
        <v>980</v>
      </c>
      <c r="D160" s="363">
        <v>0</v>
      </c>
      <c r="E160" s="360"/>
      <c r="F160" s="363">
        <v>0</v>
      </c>
      <c r="G160" s="363"/>
      <c r="H160" s="363">
        <v>0</v>
      </c>
      <c r="I160" s="363"/>
      <c r="J160" s="363">
        <v>0</v>
      </c>
      <c r="K160" s="361"/>
      <c r="N160" t="s">
        <v>980</v>
      </c>
    </row>
    <row r="161" spans="1:14" hidden="1" x14ac:dyDescent="0.25">
      <c r="A161" s="364" t="s">
        <v>503</v>
      </c>
      <c r="B161" t="s">
        <v>502</v>
      </c>
      <c r="C161" t="s">
        <v>981</v>
      </c>
      <c r="D161" s="363">
        <v>2026.2857142857142</v>
      </c>
      <c r="E161" s="360"/>
      <c r="F161" s="363">
        <v>2364</v>
      </c>
      <c r="G161" s="363"/>
      <c r="H161" s="363">
        <v>2026.2857142857142</v>
      </c>
      <c r="I161" s="363"/>
      <c r="J161" s="363">
        <v>6416.5714285714275</v>
      </c>
      <c r="K161" s="361"/>
      <c r="N161" t="s">
        <v>981</v>
      </c>
    </row>
    <row r="162" spans="1:14" x14ac:dyDescent="0.25">
      <c r="A162" s="364" t="s">
        <v>982</v>
      </c>
      <c r="B162" t="s">
        <v>983</v>
      </c>
      <c r="C162" t="s">
        <v>983</v>
      </c>
      <c r="D162" s="363">
        <v>0</v>
      </c>
      <c r="E162" s="360"/>
      <c r="F162" s="363">
        <v>0</v>
      </c>
      <c r="G162" s="363"/>
      <c r="H162" s="363">
        <v>0</v>
      </c>
      <c r="I162" s="363"/>
      <c r="J162" s="363">
        <v>0</v>
      </c>
      <c r="K162" s="361"/>
      <c r="N162" t="s">
        <v>983</v>
      </c>
    </row>
    <row r="163" spans="1:14" x14ac:dyDescent="0.25">
      <c r="A163" s="364" t="s">
        <v>1053</v>
      </c>
      <c r="B163" t="s">
        <v>1054</v>
      </c>
      <c r="C163" t="s">
        <v>1054</v>
      </c>
      <c r="D163" s="363">
        <v>2523.8480952380955</v>
      </c>
      <c r="E163" s="360"/>
      <c r="F163" s="363">
        <v>2944.4894444444449</v>
      </c>
      <c r="G163" s="363"/>
      <c r="H163" s="363">
        <v>2523.8480952380955</v>
      </c>
      <c r="I163" s="363"/>
      <c r="J163" s="363">
        <v>7992.1856349206355</v>
      </c>
      <c r="K163" s="361"/>
      <c r="N163" t="s">
        <v>1054</v>
      </c>
    </row>
    <row r="164" spans="1:14" hidden="1" x14ac:dyDescent="0.25">
      <c r="A164" s="364" t="s">
        <v>504</v>
      </c>
      <c r="B164">
        <v>206134</v>
      </c>
      <c r="C164" t="s">
        <v>984</v>
      </c>
      <c r="D164" s="363">
        <v>0</v>
      </c>
      <c r="E164" s="360"/>
      <c r="F164" s="363">
        <v>0</v>
      </c>
      <c r="G164" s="363"/>
      <c r="H164" s="363">
        <v>0</v>
      </c>
      <c r="I164" s="363"/>
      <c r="J164" s="363">
        <v>0</v>
      </c>
      <c r="K164" s="361"/>
      <c r="N164" t="s">
        <v>984</v>
      </c>
    </row>
    <row r="165" spans="1:14" x14ac:dyDescent="0.25">
      <c r="A165" s="364" t="s">
        <v>985</v>
      </c>
      <c r="B165" t="s">
        <v>986</v>
      </c>
      <c r="C165" t="s">
        <v>986</v>
      </c>
      <c r="D165" s="363">
        <v>0</v>
      </c>
      <c r="E165" s="360"/>
      <c r="F165" s="363">
        <v>0</v>
      </c>
      <c r="G165" s="363"/>
      <c r="H165" s="363">
        <v>0</v>
      </c>
      <c r="I165" s="363"/>
      <c r="J165" s="363">
        <v>0</v>
      </c>
      <c r="K165" s="361"/>
      <c r="N165" t="s">
        <v>986</v>
      </c>
    </row>
    <row r="166" spans="1:14" hidden="1" x14ac:dyDescent="0.25">
      <c r="A166" s="364" t="s">
        <v>507</v>
      </c>
      <c r="B166">
        <v>206109</v>
      </c>
      <c r="C166" t="s">
        <v>987</v>
      </c>
      <c r="D166" s="363">
        <v>1570.354603174603</v>
      </c>
      <c r="E166" s="360"/>
      <c r="F166" s="363">
        <v>1832.0803703703702</v>
      </c>
      <c r="G166" s="363"/>
      <c r="H166" s="363">
        <v>1570.354603174603</v>
      </c>
      <c r="I166" s="363"/>
      <c r="J166" s="363">
        <v>4972.789576719576</v>
      </c>
      <c r="K166" s="361"/>
      <c r="N166" t="s">
        <v>987</v>
      </c>
    </row>
    <row r="167" spans="1:14" hidden="1" x14ac:dyDescent="0.25">
      <c r="A167" s="364" t="s">
        <v>517</v>
      </c>
      <c r="B167" t="s">
        <v>516</v>
      </c>
      <c r="C167" t="s">
        <v>988</v>
      </c>
      <c r="D167" s="363">
        <v>180</v>
      </c>
      <c r="E167" s="360"/>
      <c r="F167" s="363">
        <v>210</v>
      </c>
      <c r="G167" s="363"/>
      <c r="H167" s="363">
        <v>180</v>
      </c>
      <c r="I167" s="363"/>
      <c r="J167" s="363">
        <v>570</v>
      </c>
      <c r="K167" s="361"/>
      <c r="N167" t="s">
        <v>988</v>
      </c>
    </row>
    <row r="168" spans="1:14" hidden="1" x14ac:dyDescent="0.25">
      <c r="A168" s="364" t="s">
        <v>510</v>
      </c>
      <c r="B168" t="s">
        <v>509</v>
      </c>
      <c r="C168" t="s">
        <v>989</v>
      </c>
      <c r="D168" s="363">
        <v>3394.2857142857138</v>
      </c>
      <c r="E168" s="360"/>
      <c r="F168" s="363">
        <v>3960</v>
      </c>
      <c r="G168" s="363"/>
      <c r="H168" s="363">
        <v>3394.2857142857138</v>
      </c>
      <c r="I168" s="363"/>
      <c r="J168" s="363">
        <v>10748.571428571428</v>
      </c>
      <c r="K168" s="361"/>
      <c r="N168" t="s">
        <v>989</v>
      </c>
    </row>
    <row r="169" spans="1:14" hidden="1" x14ac:dyDescent="0.25">
      <c r="A169" s="364" t="s">
        <v>512</v>
      </c>
      <c r="B169" t="s">
        <v>511</v>
      </c>
      <c r="C169" t="s">
        <v>990</v>
      </c>
      <c r="D169" s="363">
        <v>218.57142857142858</v>
      </c>
      <c r="E169" s="360"/>
      <c r="F169" s="363">
        <v>255</v>
      </c>
      <c r="G169" s="363"/>
      <c r="H169" s="363">
        <v>218.57142857142858</v>
      </c>
      <c r="I169" s="363"/>
      <c r="J169" s="363">
        <v>692.14285714285711</v>
      </c>
      <c r="K169" s="361"/>
      <c r="N169" t="s">
        <v>990</v>
      </c>
    </row>
    <row r="170" spans="1:14" x14ac:dyDescent="0.25">
      <c r="A170" s="364" t="s">
        <v>991</v>
      </c>
      <c r="B170" t="s">
        <v>992</v>
      </c>
      <c r="C170" t="s">
        <v>992</v>
      </c>
      <c r="D170" s="363">
        <v>1170</v>
      </c>
      <c r="E170" s="360"/>
      <c r="F170" s="363">
        <v>1365</v>
      </c>
      <c r="G170" s="363"/>
      <c r="H170" s="363">
        <v>1170</v>
      </c>
      <c r="I170" s="363"/>
      <c r="J170" s="363">
        <v>3705</v>
      </c>
      <c r="K170" s="361"/>
      <c r="N170" t="s">
        <v>992</v>
      </c>
    </row>
    <row r="171" spans="1:14" hidden="1" x14ac:dyDescent="0.25">
      <c r="A171" s="364" t="s">
        <v>514</v>
      </c>
      <c r="B171" t="s">
        <v>513</v>
      </c>
      <c r="C171" t="s">
        <v>993</v>
      </c>
      <c r="D171" s="363">
        <v>1139.0314285714285</v>
      </c>
      <c r="E171" s="360"/>
      <c r="F171" s="363">
        <v>1328.87</v>
      </c>
      <c r="G171" s="363"/>
      <c r="H171" s="363">
        <v>1139.0314285714285</v>
      </c>
      <c r="I171" s="363"/>
      <c r="J171" s="363">
        <v>3606.9328571428568</v>
      </c>
      <c r="K171" s="361"/>
      <c r="N171" t="s">
        <v>993</v>
      </c>
    </row>
    <row r="172" spans="1:14" hidden="1" x14ac:dyDescent="0.25">
      <c r="A172" s="364" t="s">
        <v>515</v>
      </c>
      <c r="B172">
        <v>509197</v>
      </c>
      <c r="C172" t="s">
        <v>994</v>
      </c>
      <c r="D172" s="363">
        <v>2168.2885714285712</v>
      </c>
      <c r="E172" s="360"/>
      <c r="F172" s="363">
        <v>2529.6699999999996</v>
      </c>
      <c r="G172" s="363"/>
      <c r="H172" s="363">
        <v>2168.2885714285712</v>
      </c>
      <c r="I172" s="363"/>
      <c r="J172" s="363">
        <v>6866.2471428571425</v>
      </c>
      <c r="K172" s="361"/>
      <c r="N172" t="s">
        <v>994</v>
      </c>
    </row>
    <row r="173" spans="1:14" hidden="1" x14ac:dyDescent="0.25">
      <c r="A173" s="364" t="s">
        <v>519</v>
      </c>
      <c r="B173" t="s">
        <v>518</v>
      </c>
      <c r="C173" t="s">
        <v>997</v>
      </c>
      <c r="D173" s="363">
        <v>1337.1428571428571</v>
      </c>
      <c r="E173" s="360"/>
      <c r="F173" s="363">
        <v>1560</v>
      </c>
      <c r="G173" s="363"/>
      <c r="H173" s="363">
        <v>1337.1428571428571</v>
      </c>
      <c r="I173" s="363"/>
      <c r="J173" s="363">
        <v>4234.2857142857138</v>
      </c>
      <c r="K173" s="361"/>
      <c r="N173" t="s">
        <v>997</v>
      </c>
    </row>
    <row r="174" spans="1:14" hidden="1" x14ac:dyDescent="0.25">
      <c r="A174" s="364" t="s">
        <v>520</v>
      </c>
      <c r="B174">
        <v>206117</v>
      </c>
      <c r="C174" t="s">
        <v>998</v>
      </c>
      <c r="D174" s="363">
        <v>4195.7142857142862</v>
      </c>
      <c r="E174" s="360"/>
      <c r="F174" s="363">
        <v>4895</v>
      </c>
      <c r="G174" s="363"/>
      <c r="H174" s="363">
        <v>4195.7142857142862</v>
      </c>
      <c r="I174" s="363"/>
      <c r="J174" s="363">
        <v>13286.428571428572</v>
      </c>
      <c r="K174" s="361"/>
      <c r="N174" t="s">
        <v>998</v>
      </c>
    </row>
    <row r="175" spans="1:14" hidden="1" x14ac:dyDescent="0.25">
      <c r="A175" s="364" t="s">
        <v>521</v>
      </c>
      <c r="B175">
        <v>206141</v>
      </c>
      <c r="C175" t="s">
        <v>999</v>
      </c>
      <c r="D175" s="363">
        <v>0</v>
      </c>
      <c r="E175" s="360"/>
      <c r="F175" s="363">
        <v>0</v>
      </c>
      <c r="G175" s="363"/>
      <c r="H175" s="363">
        <v>0</v>
      </c>
      <c r="I175" s="363"/>
      <c r="J175" s="363">
        <v>0</v>
      </c>
      <c r="K175" s="361"/>
      <c r="N175" t="s">
        <v>999</v>
      </c>
    </row>
    <row r="176" spans="1:14" hidden="1" x14ac:dyDescent="0.25">
      <c r="A176" s="364" t="s">
        <v>523</v>
      </c>
      <c r="B176" t="s">
        <v>522</v>
      </c>
      <c r="C176" t="s">
        <v>1000</v>
      </c>
      <c r="D176" s="363">
        <v>6324.4285714285725</v>
      </c>
      <c r="E176" s="360"/>
      <c r="F176" s="363">
        <v>7378.5</v>
      </c>
      <c r="G176" s="363"/>
      <c r="H176" s="363">
        <v>6324.4285714285725</v>
      </c>
      <c r="I176" s="363"/>
      <c r="J176" s="363">
        <v>20027.357142857145</v>
      </c>
      <c r="K176" s="361"/>
      <c r="N176" t="s">
        <v>1000</v>
      </c>
    </row>
    <row r="177" spans="1:14" hidden="1" x14ac:dyDescent="0.25">
      <c r="A177" s="364" t="s">
        <v>525</v>
      </c>
      <c r="B177" t="s">
        <v>524</v>
      </c>
      <c r="C177" t="s">
        <v>1001</v>
      </c>
      <c r="D177" s="363">
        <v>7691.4511111111078</v>
      </c>
      <c r="E177" s="360"/>
      <c r="F177" s="363">
        <v>8973.3596296296255</v>
      </c>
      <c r="G177" s="363"/>
      <c r="H177" s="363">
        <v>7691.4511111111078</v>
      </c>
      <c r="I177" s="363"/>
      <c r="J177" s="363">
        <v>24356.261851851843</v>
      </c>
      <c r="K177" s="361"/>
      <c r="N177" t="s">
        <v>1001</v>
      </c>
    </row>
    <row r="178" spans="1:14" hidden="1" x14ac:dyDescent="0.25">
      <c r="A178" s="364" t="s">
        <v>526</v>
      </c>
      <c r="B178">
        <v>258408</v>
      </c>
      <c r="C178" t="s">
        <v>1002</v>
      </c>
      <c r="D178" s="363">
        <v>1620</v>
      </c>
      <c r="E178" s="360"/>
      <c r="F178" s="363">
        <v>1890</v>
      </c>
      <c r="G178" s="363"/>
      <c r="H178" s="363">
        <v>1620</v>
      </c>
      <c r="I178" s="363"/>
      <c r="J178" s="363">
        <v>5130</v>
      </c>
      <c r="K178" s="361"/>
      <c r="N178" t="s">
        <v>1002</v>
      </c>
    </row>
    <row r="179" spans="1:14" hidden="1" x14ac:dyDescent="0.25">
      <c r="A179" s="364" t="s">
        <v>527</v>
      </c>
      <c r="B179">
        <v>258406</v>
      </c>
      <c r="C179" t="s">
        <v>1003</v>
      </c>
      <c r="D179" s="363">
        <v>0</v>
      </c>
      <c r="E179" s="360"/>
      <c r="F179" s="363">
        <v>0</v>
      </c>
      <c r="G179" s="363"/>
      <c r="H179" s="363">
        <v>0</v>
      </c>
      <c r="I179" s="363"/>
      <c r="J179" s="363">
        <v>0</v>
      </c>
      <c r="K179" s="361"/>
      <c r="N179" t="s">
        <v>1003</v>
      </c>
    </row>
    <row r="180" spans="1:14" x14ac:dyDescent="0.25">
      <c r="A180" s="364" t="s">
        <v>526</v>
      </c>
      <c r="B180" t="s">
        <v>1056</v>
      </c>
      <c r="C180" t="s">
        <v>1056</v>
      </c>
      <c r="D180" s="363">
        <v>5155.3714285714268</v>
      </c>
      <c r="E180" s="360"/>
      <c r="F180" s="363">
        <v>6014.5999999999976</v>
      </c>
      <c r="G180" s="363"/>
      <c r="H180" s="363">
        <v>5155.3714285714268</v>
      </c>
      <c r="I180" s="363"/>
      <c r="J180" s="363">
        <v>16325.342857142852</v>
      </c>
      <c r="K180" s="361"/>
      <c r="N180" t="s">
        <v>1056</v>
      </c>
    </row>
    <row r="181" spans="1:14" x14ac:dyDescent="0.25">
      <c r="A181" s="364" t="s">
        <v>528</v>
      </c>
      <c r="B181" s="381" t="s">
        <v>1004</v>
      </c>
      <c r="C181" s="381" t="s">
        <v>1004</v>
      </c>
      <c r="D181" s="363">
        <v>1073.2799999999997</v>
      </c>
      <c r="E181" s="360"/>
      <c r="F181" s="363">
        <v>1252.1599999999999</v>
      </c>
      <c r="G181" s="363"/>
      <c r="H181" s="363">
        <v>1073.2799999999997</v>
      </c>
      <c r="I181" s="363"/>
      <c r="J181" s="363">
        <v>3398.7199999999993</v>
      </c>
      <c r="K181" s="361"/>
      <c r="N181" t="s">
        <v>1004</v>
      </c>
    </row>
    <row r="182" spans="1:14" hidden="1" x14ac:dyDescent="0.25">
      <c r="A182" s="364" t="s">
        <v>530</v>
      </c>
      <c r="B182" t="s">
        <v>529</v>
      </c>
      <c r="C182" t="s">
        <v>1005</v>
      </c>
      <c r="D182" s="363">
        <v>617.14285714285711</v>
      </c>
      <c r="E182" s="360"/>
      <c r="F182" s="363">
        <v>720</v>
      </c>
      <c r="G182" s="363"/>
      <c r="H182" s="363">
        <v>617.14285714285711</v>
      </c>
      <c r="I182" s="363"/>
      <c r="J182" s="363">
        <v>1954.2857142857142</v>
      </c>
      <c r="K182" s="361"/>
      <c r="N182" t="s">
        <v>1005</v>
      </c>
    </row>
    <row r="183" spans="1:14" hidden="1" x14ac:dyDescent="0.25">
      <c r="A183" s="364" t="s">
        <v>531</v>
      </c>
      <c r="B183">
        <v>206146</v>
      </c>
      <c r="C183" t="s">
        <v>1006</v>
      </c>
      <c r="D183" s="363">
        <v>90</v>
      </c>
      <c r="E183" s="360"/>
      <c r="F183" s="363">
        <v>105</v>
      </c>
      <c r="G183" s="363"/>
      <c r="H183" s="363">
        <v>90</v>
      </c>
      <c r="I183" s="363"/>
      <c r="J183" s="363">
        <v>285</v>
      </c>
      <c r="K183" s="361"/>
      <c r="N183" t="s">
        <v>1006</v>
      </c>
    </row>
    <row r="184" spans="1:14" hidden="1" x14ac:dyDescent="0.25">
      <c r="A184" s="364" t="s">
        <v>533</v>
      </c>
      <c r="B184" t="s">
        <v>532</v>
      </c>
      <c r="C184" t="s">
        <v>1007</v>
      </c>
      <c r="D184" s="363">
        <v>0</v>
      </c>
      <c r="E184" s="360"/>
      <c r="F184" s="363">
        <v>0</v>
      </c>
      <c r="G184" s="363"/>
      <c r="H184" s="363">
        <v>0</v>
      </c>
      <c r="I184" s="363"/>
      <c r="J184" s="363">
        <v>0</v>
      </c>
      <c r="K184" s="361"/>
      <c r="N184" t="s">
        <v>1007</v>
      </c>
    </row>
    <row r="185" spans="1:14" hidden="1" x14ac:dyDescent="0.25">
      <c r="A185" s="364" t="s">
        <v>534</v>
      </c>
      <c r="B185">
        <v>2534321</v>
      </c>
      <c r="C185" t="s">
        <v>1010</v>
      </c>
      <c r="D185" s="363">
        <v>3420</v>
      </c>
      <c r="E185" s="360"/>
      <c r="F185" s="363">
        <v>3990</v>
      </c>
      <c r="G185" s="363"/>
      <c r="H185" s="363">
        <v>3420</v>
      </c>
      <c r="I185" s="363"/>
      <c r="J185" s="363">
        <v>10830</v>
      </c>
      <c r="K185" s="361"/>
      <c r="N185" t="s">
        <v>1010</v>
      </c>
    </row>
    <row r="186" spans="1:14" hidden="1" x14ac:dyDescent="0.25">
      <c r="A186" s="364" t="s">
        <v>536</v>
      </c>
      <c r="B186" t="s">
        <v>535</v>
      </c>
      <c r="C186" t="s">
        <v>1011</v>
      </c>
      <c r="D186" s="363">
        <v>5242.8515873015895</v>
      </c>
      <c r="E186" s="360"/>
      <c r="F186" s="363">
        <v>6116.6601851851874</v>
      </c>
      <c r="G186" s="363"/>
      <c r="H186" s="363">
        <v>5242.8515873015895</v>
      </c>
      <c r="I186" s="363"/>
      <c r="J186" s="363">
        <v>16602.363359788367</v>
      </c>
      <c r="K186" s="361"/>
      <c r="N186" t="s">
        <v>1011</v>
      </c>
    </row>
    <row r="187" spans="1:14" hidden="1" x14ac:dyDescent="0.25">
      <c r="A187" s="364" t="s">
        <v>538</v>
      </c>
      <c r="B187" t="s">
        <v>537</v>
      </c>
      <c r="C187" t="s">
        <v>1012</v>
      </c>
      <c r="D187" s="363">
        <v>0</v>
      </c>
      <c r="E187" s="360"/>
      <c r="F187" s="363">
        <v>0</v>
      </c>
      <c r="G187" s="363"/>
      <c r="H187" s="363">
        <v>0</v>
      </c>
      <c r="I187" s="363"/>
      <c r="J187" s="363">
        <v>0</v>
      </c>
      <c r="K187" s="361"/>
      <c r="N187" t="s">
        <v>1012</v>
      </c>
    </row>
    <row r="188" spans="1:14" hidden="1" x14ac:dyDescent="0.25">
      <c r="A188" s="364" t="s">
        <v>540</v>
      </c>
      <c r="B188" t="s">
        <v>539</v>
      </c>
      <c r="C188" t="s">
        <v>1013</v>
      </c>
      <c r="D188" s="363">
        <v>459.97714285714278</v>
      </c>
      <c r="E188" s="360"/>
      <c r="F188" s="363">
        <v>536.64</v>
      </c>
      <c r="G188" s="363"/>
      <c r="H188" s="363">
        <v>459.97714285714278</v>
      </c>
      <c r="I188" s="363"/>
      <c r="J188" s="363">
        <v>1456.5942857142854</v>
      </c>
      <c r="K188" s="361"/>
      <c r="N188" t="s">
        <v>1013</v>
      </c>
    </row>
    <row r="189" spans="1:14" hidden="1" x14ac:dyDescent="0.25">
      <c r="A189" s="364" t="s">
        <v>542</v>
      </c>
      <c r="B189" t="s">
        <v>541</v>
      </c>
      <c r="C189" t="s">
        <v>1016</v>
      </c>
      <c r="D189" s="363">
        <v>2484.514285714286</v>
      </c>
      <c r="E189" s="360"/>
      <c r="F189" s="363">
        <v>2898.6000000000004</v>
      </c>
      <c r="G189" s="363"/>
      <c r="H189" s="363">
        <v>2484.514285714286</v>
      </c>
      <c r="I189" s="363"/>
      <c r="J189" s="363">
        <v>7867.6285714285714</v>
      </c>
      <c r="K189" s="361"/>
      <c r="N189" t="s">
        <v>1016</v>
      </c>
    </row>
    <row r="190" spans="1:14" hidden="1" x14ac:dyDescent="0.25">
      <c r="A190" s="364" t="s">
        <v>544</v>
      </c>
      <c r="B190" t="s">
        <v>543</v>
      </c>
      <c r="C190" t="s">
        <v>1017</v>
      </c>
      <c r="D190" s="363">
        <v>1972.5596825396829</v>
      </c>
      <c r="E190" s="360"/>
      <c r="F190" s="363">
        <v>2301.3196296296301</v>
      </c>
      <c r="G190" s="363"/>
      <c r="H190" s="363">
        <v>1972.5596825396829</v>
      </c>
      <c r="I190" s="363"/>
      <c r="J190" s="363">
        <v>6246.4389947089949</v>
      </c>
      <c r="K190" s="361"/>
      <c r="N190" t="s">
        <v>1017</v>
      </c>
    </row>
    <row r="191" spans="1:14" hidden="1" x14ac:dyDescent="0.25">
      <c r="A191" s="364" t="s">
        <v>546</v>
      </c>
      <c r="B191" t="s">
        <v>545</v>
      </c>
      <c r="C191" t="s">
        <v>1018</v>
      </c>
      <c r="D191" s="363">
        <v>0</v>
      </c>
      <c r="E191" s="360"/>
      <c r="F191" s="363">
        <v>0</v>
      </c>
      <c r="G191" s="363"/>
      <c r="H191" s="363">
        <v>0</v>
      </c>
      <c r="I191" s="363"/>
      <c r="J191" s="363">
        <v>0</v>
      </c>
      <c r="K191" s="361"/>
      <c r="N191" t="s">
        <v>1018</v>
      </c>
    </row>
    <row r="192" spans="1:14" hidden="1" x14ac:dyDescent="0.25">
      <c r="A192" s="364" t="s">
        <v>548</v>
      </c>
      <c r="B192" t="s">
        <v>547</v>
      </c>
      <c r="C192" t="s">
        <v>1019</v>
      </c>
      <c r="D192" s="363">
        <v>0</v>
      </c>
      <c r="E192" s="360"/>
      <c r="F192" s="363">
        <v>0</v>
      </c>
      <c r="G192" s="363"/>
      <c r="H192" s="363">
        <v>0</v>
      </c>
      <c r="I192" s="363"/>
      <c r="J192" s="363">
        <v>0</v>
      </c>
      <c r="K192" s="361"/>
      <c r="N192" t="s">
        <v>1019</v>
      </c>
    </row>
    <row r="193" spans="1:14" hidden="1" x14ac:dyDescent="0.25">
      <c r="A193" s="364" t="s">
        <v>550</v>
      </c>
      <c r="B193" t="s">
        <v>549</v>
      </c>
      <c r="C193" t="s">
        <v>1020</v>
      </c>
      <c r="D193" s="363">
        <v>335.57142857142856</v>
      </c>
      <c r="E193" s="360"/>
      <c r="F193" s="363">
        <v>391.5</v>
      </c>
      <c r="G193" s="363"/>
      <c r="H193" s="363">
        <v>335.57142857142856</v>
      </c>
      <c r="I193" s="363"/>
      <c r="J193" s="363">
        <v>1062.6428571428571</v>
      </c>
      <c r="K193" s="361"/>
      <c r="N193" t="s">
        <v>1020</v>
      </c>
    </row>
    <row r="194" spans="1:14" x14ac:dyDescent="0.25">
      <c r="A194" s="364" t="s">
        <v>1021</v>
      </c>
      <c r="B194" t="s">
        <v>1022</v>
      </c>
      <c r="C194" t="s">
        <v>1022</v>
      </c>
      <c r="D194" s="363">
        <v>0</v>
      </c>
      <c r="E194" s="360"/>
      <c r="F194" s="363">
        <v>0</v>
      </c>
      <c r="G194" s="363"/>
      <c r="H194" s="363">
        <v>0</v>
      </c>
      <c r="I194" s="363"/>
      <c r="J194" s="363">
        <v>0</v>
      </c>
      <c r="K194" s="361"/>
      <c r="N194" t="s">
        <v>1022</v>
      </c>
    </row>
    <row r="195" spans="1:14" hidden="1" x14ac:dyDescent="0.25">
      <c r="A195" s="364" t="s">
        <v>553</v>
      </c>
      <c r="B195" t="s">
        <v>552</v>
      </c>
      <c r="C195" t="s">
        <v>1023</v>
      </c>
      <c r="D195" s="363">
        <v>2612.1255555555554</v>
      </c>
      <c r="E195" s="360"/>
      <c r="F195" s="363">
        <v>3047.4798148148143</v>
      </c>
      <c r="G195" s="363"/>
      <c r="H195" s="363">
        <v>2612.1255555555554</v>
      </c>
      <c r="I195" s="363"/>
      <c r="J195" s="363">
        <v>8271.7309259259237</v>
      </c>
      <c r="K195" s="361"/>
      <c r="N195" t="s">
        <v>1023</v>
      </c>
    </row>
    <row r="196" spans="1:14" x14ac:dyDescent="0.25">
      <c r="A196" s="364" t="s">
        <v>554</v>
      </c>
      <c r="B196" t="s">
        <v>1024</v>
      </c>
      <c r="C196" t="s">
        <v>1024</v>
      </c>
      <c r="D196" s="363">
        <v>2344.2857142857147</v>
      </c>
      <c r="E196" s="360"/>
      <c r="F196" s="363">
        <v>2735.0000000000005</v>
      </c>
      <c r="G196" s="363"/>
      <c r="H196" s="363">
        <v>2344.2857142857147</v>
      </c>
      <c r="I196" s="363"/>
      <c r="J196" s="363">
        <v>7423.5714285714303</v>
      </c>
      <c r="K196" s="361"/>
      <c r="N196" t="s">
        <v>1024</v>
      </c>
    </row>
    <row r="197" spans="1:14" hidden="1" x14ac:dyDescent="0.25">
      <c r="A197" s="364" t="s">
        <v>556</v>
      </c>
      <c r="B197" t="s">
        <v>555</v>
      </c>
      <c r="C197" t="s">
        <v>1025</v>
      </c>
      <c r="D197" s="363">
        <v>3528</v>
      </c>
      <c r="E197" s="360"/>
      <c r="F197" s="363">
        <v>4116</v>
      </c>
      <c r="G197" s="363"/>
      <c r="H197" s="363">
        <v>3528</v>
      </c>
      <c r="I197" s="363"/>
      <c r="J197" s="363">
        <v>11172</v>
      </c>
      <c r="K197" s="361"/>
      <c r="N197" t="s">
        <v>1025</v>
      </c>
    </row>
    <row r="198" spans="1:14" hidden="1" x14ac:dyDescent="0.25">
      <c r="A198" s="364" t="s">
        <v>557</v>
      </c>
      <c r="B198">
        <v>206103</v>
      </c>
      <c r="C198" t="s">
        <v>1026</v>
      </c>
      <c r="D198" s="363">
        <v>5508</v>
      </c>
      <c r="E198" s="360"/>
      <c r="F198" s="363">
        <v>6426</v>
      </c>
      <c r="G198" s="363"/>
      <c r="H198" s="363">
        <v>5508</v>
      </c>
      <c r="I198" s="363"/>
      <c r="J198" s="363">
        <v>17442</v>
      </c>
      <c r="K198" s="361"/>
      <c r="N198" t="s">
        <v>1026</v>
      </c>
    </row>
    <row r="199" spans="1:14" hidden="1" x14ac:dyDescent="0.25">
      <c r="A199" s="364" t="s">
        <v>558</v>
      </c>
      <c r="B199">
        <v>2614882</v>
      </c>
      <c r="C199" t="s">
        <v>1027</v>
      </c>
      <c r="D199" s="363">
        <v>6708.0000000000018</v>
      </c>
      <c r="E199" s="360"/>
      <c r="F199" s="363">
        <v>7826.0000000000018</v>
      </c>
      <c r="G199" s="363"/>
      <c r="H199" s="363">
        <v>6708.0000000000018</v>
      </c>
      <c r="I199" s="363"/>
      <c r="J199" s="363">
        <v>21242.000000000007</v>
      </c>
      <c r="K199" s="361"/>
      <c r="N199" t="s">
        <v>1027</v>
      </c>
    </row>
    <row r="200" spans="1:14" hidden="1" x14ac:dyDescent="0.25">
      <c r="A200" s="364" t="s">
        <v>560</v>
      </c>
      <c r="B200" t="s">
        <v>559</v>
      </c>
      <c r="C200" t="s">
        <v>1028</v>
      </c>
      <c r="D200" s="363">
        <v>2197.9885714285715</v>
      </c>
      <c r="E200" s="360"/>
      <c r="F200" s="363">
        <v>2564.3200000000002</v>
      </c>
      <c r="G200" s="363"/>
      <c r="H200" s="363">
        <v>2197.9885714285715</v>
      </c>
      <c r="I200" s="363"/>
      <c r="J200" s="363">
        <v>6960.2971428571436</v>
      </c>
      <c r="K200" s="361"/>
      <c r="N200" t="s">
        <v>1028</v>
      </c>
    </row>
    <row r="201" spans="1:14" hidden="1" x14ac:dyDescent="0.25">
      <c r="A201" s="364" t="s">
        <v>563</v>
      </c>
      <c r="B201">
        <v>2498864</v>
      </c>
      <c r="C201" t="s">
        <v>1029</v>
      </c>
      <c r="D201" s="363">
        <v>4422.8571428571431</v>
      </c>
      <c r="E201" s="360"/>
      <c r="F201" s="363">
        <v>5160</v>
      </c>
      <c r="G201" s="363"/>
      <c r="H201" s="363">
        <v>4422.8571428571431</v>
      </c>
      <c r="I201" s="363"/>
      <c r="J201" s="363">
        <v>14005.714285714286</v>
      </c>
      <c r="K201" s="361"/>
      <c r="N201" t="s">
        <v>1029</v>
      </c>
    </row>
    <row r="202" spans="1:14" hidden="1" x14ac:dyDescent="0.25">
      <c r="A202" s="364" t="s">
        <v>565</v>
      </c>
      <c r="B202" t="s">
        <v>564</v>
      </c>
      <c r="C202" t="s">
        <v>1030</v>
      </c>
      <c r="D202" s="363">
        <v>2100</v>
      </c>
      <c r="E202" s="360"/>
      <c r="F202" s="363">
        <v>2450</v>
      </c>
      <c r="G202" s="363"/>
      <c r="H202" s="363">
        <v>2100</v>
      </c>
      <c r="I202" s="363"/>
      <c r="J202" s="363">
        <v>6650</v>
      </c>
      <c r="K202" s="361"/>
      <c r="N202" t="s">
        <v>1030</v>
      </c>
    </row>
    <row r="203" spans="1:14" x14ac:dyDescent="0.25">
      <c r="A203" s="364" t="s">
        <v>1031</v>
      </c>
      <c r="B203" t="s">
        <v>1032</v>
      </c>
      <c r="C203" t="s">
        <v>1032</v>
      </c>
      <c r="D203" s="363">
        <v>4452.5142857142873</v>
      </c>
      <c r="E203" s="360"/>
      <c r="F203" s="363">
        <v>5194.6000000000013</v>
      </c>
      <c r="G203" s="363"/>
      <c r="H203" s="363">
        <v>4452.5142857142873</v>
      </c>
      <c r="I203" s="363"/>
      <c r="J203" s="363">
        <v>14099.628571428575</v>
      </c>
      <c r="K203" s="361"/>
      <c r="N203" t="s">
        <v>1032</v>
      </c>
    </row>
    <row r="204" spans="1:14" hidden="1" x14ac:dyDescent="0.25">
      <c r="A204" s="364" t="s">
        <v>568</v>
      </c>
      <c r="B204" t="s">
        <v>567</v>
      </c>
      <c r="C204" t="s">
        <v>1033</v>
      </c>
      <c r="D204" s="363">
        <v>4454.5371428571443</v>
      </c>
      <c r="E204" s="360"/>
      <c r="F204" s="363">
        <v>5196.9600000000019</v>
      </c>
      <c r="G204" s="363"/>
      <c r="H204" s="363">
        <v>4454.5371428571443</v>
      </c>
      <c r="I204" s="363"/>
      <c r="J204" s="363">
        <v>14106.03428571429</v>
      </c>
      <c r="K204" s="361"/>
      <c r="N204" t="s">
        <v>1033</v>
      </c>
    </row>
    <row r="205" spans="1:14" hidden="1" x14ac:dyDescent="0.25">
      <c r="A205" s="364" t="s">
        <v>570</v>
      </c>
      <c r="B205" t="s">
        <v>569</v>
      </c>
      <c r="C205" t="s">
        <v>1034</v>
      </c>
      <c r="D205" s="363">
        <v>64.285714285714278</v>
      </c>
      <c r="E205" s="360"/>
      <c r="F205" s="363">
        <v>75</v>
      </c>
      <c r="G205" s="363"/>
      <c r="H205" s="363">
        <v>64.285714285714278</v>
      </c>
      <c r="I205" s="363"/>
      <c r="J205" s="363">
        <v>203.57142857142856</v>
      </c>
      <c r="K205" s="361"/>
      <c r="N205" t="s">
        <v>1034</v>
      </c>
    </row>
    <row r="206" spans="1:14" hidden="1" x14ac:dyDescent="0.25">
      <c r="A206" s="364" t="s">
        <v>572</v>
      </c>
      <c r="B206" t="s">
        <v>571</v>
      </c>
      <c r="C206" t="s">
        <v>1035</v>
      </c>
      <c r="D206" s="363">
        <v>8473.7828571428527</v>
      </c>
      <c r="E206" s="360"/>
      <c r="F206" s="363">
        <v>9886.0799999999945</v>
      </c>
      <c r="G206" s="363"/>
      <c r="H206" s="363">
        <v>8473.7828571428527</v>
      </c>
      <c r="I206" s="363"/>
      <c r="J206" s="363">
        <v>26833.645714285703</v>
      </c>
      <c r="K206" s="361"/>
      <c r="N206" t="s">
        <v>1035</v>
      </c>
    </row>
    <row r="207" spans="1:14" hidden="1" x14ac:dyDescent="0.25">
      <c r="A207" s="364" t="s">
        <v>573</v>
      </c>
      <c r="B207">
        <v>2568273</v>
      </c>
      <c r="C207" t="s">
        <v>1036</v>
      </c>
      <c r="D207" s="363">
        <v>0</v>
      </c>
      <c r="E207" s="360"/>
      <c r="F207" s="363">
        <v>0</v>
      </c>
      <c r="G207" s="363"/>
      <c r="H207" s="363">
        <v>0</v>
      </c>
      <c r="I207" s="363"/>
      <c r="J207" s="363">
        <v>0</v>
      </c>
      <c r="K207" s="361"/>
      <c r="N207" t="s">
        <v>1036</v>
      </c>
    </row>
    <row r="208" spans="1:14" hidden="1" x14ac:dyDescent="0.25">
      <c r="A208" s="364" t="s">
        <v>574</v>
      </c>
      <c r="B208">
        <v>509204</v>
      </c>
      <c r="C208" t="s">
        <v>1037</v>
      </c>
      <c r="D208" s="363">
        <v>4016.5371428571443</v>
      </c>
      <c r="E208" s="360"/>
      <c r="F208" s="363">
        <v>4685.9600000000019</v>
      </c>
      <c r="G208" s="363"/>
      <c r="H208" s="363">
        <v>4016.5371428571443</v>
      </c>
      <c r="I208" s="363"/>
      <c r="J208" s="363">
        <v>12719.03428571429</v>
      </c>
      <c r="K208" s="361"/>
      <c r="N208" t="s">
        <v>1037</v>
      </c>
    </row>
    <row r="209" spans="1:14" hidden="1" x14ac:dyDescent="0.25">
      <c r="A209" s="364" t="s">
        <v>576</v>
      </c>
      <c r="B209" t="s">
        <v>575</v>
      </c>
      <c r="C209" t="s">
        <v>1038</v>
      </c>
      <c r="D209" s="363">
        <v>0</v>
      </c>
      <c r="E209" s="360"/>
      <c r="F209" s="363">
        <v>0</v>
      </c>
      <c r="G209" s="363"/>
      <c r="H209" s="363">
        <v>0</v>
      </c>
      <c r="I209" s="363"/>
      <c r="J209" s="363">
        <v>0</v>
      </c>
      <c r="K209" s="361"/>
      <c r="N209" t="s">
        <v>1038</v>
      </c>
    </row>
    <row r="210" spans="1:14" ht="15" thickBot="1" x14ac:dyDescent="0.4">
      <c r="A210" s="347" t="s">
        <v>604</v>
      </c>
      <c r="B210" s="348"/>
      <c r="C210" s="348"/>
      <c r="D210" s="370">
        <v>160141.82476190478</v>
      </c>
      <c r="E210" s="367">
        <v>0</v>
      </c>
      <c r="F210" s="370">
        <v>186832.12888888887</v>
      </c>
      <c r="G210" s="370">
        <v>0</v>
      </c>
      <c r="H210" s="370">
        <v>160141.82476190478</v>
      </c>
      <c r="I210" s="370">
        <v>0</v>
      </c>
      <c r="J210" s="370">
        <v>507115.77841269842</v>
      </c>
      <c r="K210" s="368">
        <v>0</v>
      </c>
      <c r="L210" s="348"/>
      <c r="M210" s="379"/>
      <c r="N210">
        <v>0</v>
      </c>
    </row>
    <row r="211" spans="1:14" ht="15.5" thickTop="1" thickBot="1" x14ac:dyDescent="0.4">
      <c r="A211" s="347" t="s">
        <v>1039</v>
      </c>
      <c r="B211" s="348"/>
      <c r="C211" s="348"/>
      <c r="D211" s="376">
        <v>889.67680423280433</v>
      </c>
      <c r="E211" s="367">
        <v>0</v>
      </c>
      <c r="F211" s="376">
        <v>889.6768042328041</v>
      </c>
      <c r="G211" s="376">
        <v>0</v>
      </c>
      <c r="H211" s="376">
        <v>889.67680423280433</v>
      </c>
      <c r="I211" s="376">
        <v>0</v>
      </c>
      <c r="J211" s="376">
        <v>2817.309880070547</v>
      </c>
      <c r="K211" s="368">
        <v>0</v>
      </c>
      <c r="L211" s="348">
        <f t="shared" ref="L211" si="0">(L210/12)/15</f>
        <v>0</v>
      </c>
      <c r="M211" s="379"/>
    </row>
    <row r="212" spans="1:14" ht="13" thickTop="1" x14ac:dyDescent="0.25">
      <c r="D212" s="383">
        <v>0</v>
      </c>
      <c r="F212" s="383">
        <v>186832.12888888901</v>
      </c>
      <c r="G212" s="383"/>
      <c r="H212" s="383">
        <v>0</v>
      </c>
      <c r="N212">
        <v>0</v>
      </c>
    </row>
    <row r="213" spans="1:14" x14ac:dyDescent="0.25">
      <c r="D213" s="384">
        <v>-160141.82476190478</v>
      </c>
      <c r="F213" s="383">
        <v>0</v>
      </c>
      <c r="G213" s="383"/>
      <c r="H213" s="383">
        <v>-160141.82476190478</v>
      </c>
      <c r="N213">
        <v>0</v>
      </c>
    </row>
    <row r="214" spans="1:14" ht="15" thickBot="1" x14ac:dyDescent="0.4">
      <c r="C214" s="379"/>
      <c r="D214" s="387"/>
      <c r="E214" s="387"/>
      <c r="F214" s="387"/>
      <c r="G214" s="387"/>
    </row>
    <row r="215" spans="1:14" ht="43.5" x14ac:dyDescent="0.35">
      <c r="C215" s="338" t="s">
        <v>1059</v>
      </c>
      <c r="D215" s="402">
        <v>193070.40000000002</v>
      </c>
      <c r="E215" s="402"/>
      <c r="F215" s="402">
        <v>379707.55199999997</v>
      </c>
      <c r="G215" s="403"/>
      <c r="H215" s="394">
        <v>298341.64799999999</v>
      </c>
      <c r="I215" s="396"/>
      <c r="J215" s="386">
        <v>871119.60000000009</v>
      </c>
      <c r="M215" s="404"/>
    </row>
    <row r="216" spans="1:14" ht="116.5" thickBot="1" x14ac:dyDescent="0.4">
      <c r="C216" s="388" t="s">
        <v>1073</v>
      </c>
      <c r="D216" s="398">
        <v>32928.575238095247</v>
      </c>
      <c r="E216" s="398"/>
      <c r="F216" s="398">
        <v>192875.4231111111</v>
      </c>
      <c r="G216" s="398"/>
      <c r="H216" s="398">
        <v>138199.82323809521</v>
      </c>
      <c r="I216" s="377"/>
      <c r="J216" s="389">
        <v>364003.82158730156</v>
      </c>
    </row>
    <row r="219" spans="1:14" ht="14.5" x14ac:dyDescent="0.35">
      <c r="C219" s="379" t="s">
        <v>1083</v>
      </c>
      <c r="F219" s="405">
        <v>875.04828571428641</v>
      </c>
    </row>
    <row r="220" spans="1:14" ht="14.5" x14ac:dyDescent="0.35">
      <c r="C220" s="379" t="s">
        <v>1084</v>
      </c>
      <c r="D220" s="387"/>
      <c r="E220" s="387"/>
      <c r="F220" s="405">
        <v>889.6768042328049</v>
      </c>
    </row>
  </sheetData>
  <autoFilter ref="A4:N213" xr:uid="{9696C84A-0E20-4EEE-9200-B9380401005F}">
    <filterColumn colId="1">
      <filters blank="1"/>
    </filterColumn>
  </autoFilter>
  <mergeCells count="1">
    <mergeCell ref="D3:K3"/>
  </mergeCells>
  <conditionalFormatting sqref="B143:C143">
    <cfRule type="containsBlanks" dxfId="6" priority="1">
      <formula>LEN(TRIM(B143))=0</formula>
    </cfRule>
  </conditionalFormatting>
  <conditionalFormatting sqref="B181:C181">
    <cfRule type="containsBlanks" dxfId="5" priority="2">
      <formula>LEN(TRIM(B181))=0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9A296-2817-486A-B6F9-9ECCAAB2AEB0}">
  <sheetPr codeName="Sheet19">
    <tabColor rgb="FFFF0000"/>
  </sheetPr>
  <dimension ref="A5:D265"/>
  <sheetViews>
    <sheetView topLeftCell="A238" workbookViewId="0">
      <selection activeCell="C1" sqref="C1"/>
    </sheetView>
  </sheetViews>
  <sheetFormatPr defaultRowHeight="12.5" x14ac:dyDescent="0.25"/>
  <cols>
    <col min="1" max="1" width="79.453125" customWidth="1"/>
    <col min="2" max="2" width="13.1796875" customWidth="1"/>
  </cols>
  <sheetData>
    <row r="5" spans="1:4" x14ac:dyDescent="0.25">
      <c r="A5" s="25" t="s">
        <v>760</v>
      </c>
      <c r="B5" s="27">
        <v>12345</v>
      </c>
      <c r="C5" s="27"/>
      <c r="D5" s="26">
        <v>6</v>
      </c>
    </row>
    <row r="6" spans="1:4" ht="13" x14ac:dyDescent="0.25">
      <c r="A6" s="28" t="s">
        <v>754</v>
      </c>
      <c r="B6" s="29" t="s">
        <v>61</v>
      </c>
      <c r="C6" s="26">
        <v>6</v>
      </c>
      <c r="D6" s="30">
        <v>6</v>
      </c>
    </row>
    <row r="7" spans="1:4" x14ac:dyDescent="0.25">
      <c r="A7" s="31" t="s">
        <v>331</v>
      </c>
      <c r="B7" s="32">
        <v>206189</v>
      </c>
      <c r="C7" s="32" t="s">
        <v>651</v>
      </c>
      <c r="D7" s="32">
        <v>4</v>
      </c>
    </row>
    <row r="8" spans="1:4" x14ac:dyDescent="0.25">
      <c r="A8" s="31" t="s">
        <v>98</v>
      </c>
      <c r="B8" s="32">
        <v>2014</v>
      </c>
      <c r="C8" s="32">
        <v>0</v>
      </c>
      <c r="D8" s="32">
        <v>0</v>
      </c>
    </row>
    <row r="9" spans="1:4" x14ac:dyDescent="0.25">
      <c r="A9" s="31" t="s">
        <v>96</v>
      </c>
      <c r="B9" s="32">
        <v>2012</v>
      </c>
      <c r="C9" s="32">
        <v>0</v>
      </c>
      <c r="D9" s="32">
        <v>0</v>
      </c>
    </row>
    <row r="10" spans="1:4" x14ac:dyDescent="0.25">
      <c r="A10" s="31" t="s">
        <v>149</v>
      </c>
      <c r="B10" s="32">
        <v>5414</v>
      </c>
      <c r="C10" s="32">
        <v>0</v>
      </c>
      <c r="D10" s="32">
        <v>0</v>
      </c>
    </row>
    <row r="11" spans="1:4" x14ac:dyDescent="0.25">
      <c r="A11" s="31" t="s">
        <v>332</v>
      </c>
      <c r="B11" s="32">
        <v>2579160</v>
      </c>
      <c r="C11" s="32" t="s">
        <v>591</v>
      </c>
      <c r="D11" s="32">
        <v>3</v>
      </c>
    </row>
    <row r="12" spans="1:4" x14ac:dyDescent="0.25">
      <c r="A12" s="31" t="s">
        <v>71</v>
      </c>
      <c r="B12" s="32">
        <v>2443</v>
      </c>
      <c r="C12" s="32" t="s">
        <v>606</v>
      </c>
      <c r="D12" s="32">
        <v>1</v>
      </c>
    </row>
    <row r="13" spans="1:4" x14ac:dyDescent="0.25">
      <c r="A13" s="31" t="s">
        <v>112</v>
      </c>
      <c r="B13" s="32">
        <v>2442</v>
      </c>
      <c r="C13" s="32">
        <v>0</v>
      </c>
      <c r="D13" s="32">
        <v>0</v>
      </c>
    </row>
    <row r="14" spans="1:4" x14ac:dyDescent="0.25">
      <c r="A14" s="31" t="s">
        <v>144</v>
      </c>
      <c r="B14" s="32">
        <v>4011</v>
      </c>
      <c r="C14" s="32">
        <v>0</v>
      </c>
      <c r="D14" s="32">
        <v>0</v>
      </c>
    </row>
    <row r="15" spans="1:4" x14ac:dyDescent="0.25">
      <c r="A15" s="31" t="s">
        <v>334</v>
      </c>
      <c r="B15" s="32" t="s">
        <v>333</v>
      </c>
      <c r="C15" s="32" t="s">
        <v>651</v>
      </c>
      <c r="D15" s="32">
        <v>4</v>
      </c>
    </row>
    <row r="16" spans="1:4" x14ac:dyDescent="0.25">
      <c r="A16" s="31" t="s">
        <v>124</v>
      </c>
      <c r="B16" s="32">
        <v>2629</v>
      </c>
      <c r="C16" s="32" t="s">
        <v>629</v>
      </c>
      <c r="D16" s="32">
        <v>1</v>
      </c>
    </row>
    <row r="17" spans="1:4" x14ac:dyDescent="0.25">
      <c r="A17" s="31" t="s">
        <v>121</v>
      </c>
      <c r="B17" s="32">
        <v>2509</v>
      </c>
      <c r="C17" s="32" t="s">
        <v>629</v>
      </c>
      <c r="D17" s="32">
        <v>1</v>
      </c>
    </row>
    <row r="18" spans="1:4" x14ac:dyDescent="0.25">
      <c r="A18" s="31" t="s">
        <v>324</v>
      </c>
      <c r="B18" s="32">
        <v>1014</v>
      </c>
      <c r="C18" s="32" t="s">
        <v>592</v>
      </c>
      <c r="D18" s="32">
        <v>2</v>
      </c>
    </row>
    <row r="19" spans="1:4" x14ac:dyDescent="0.25">
      <c r="A19" s="31" t="s">
        <v>64</v>
      </c>
      <c r="B19" s="32">
        <v>2005</v>
      </c>
      <c r="C19" s="32" t="s">
        <v>606</v>
      </c>
      <c r="D19" s="32">
        <v>0</v>
      </c>
    </row>
    <row r="20" spans="1:4" x14ac:dyDescent="0.25">
      <c r="A20" s="31" t="s">
        <v>104</v>
      </c>
      <c r="B20" s="32">
        <v>2021</v>
      </c>
      <c r="C20" s="32" t="s">
        <v>629</v>
      </c>
      <c r="D20" s="32">
        <v>1</v>
      </c>
    </row>
    <row r="21" spans="1:4" x14ac:dyDescent="0.25">
      <c r="A21" s="31" t="s">
        <v>117</v>
      </c>
      <c r="B21" s="32">
        <v>2464</v>
      </c>
      <c r="C21" s="32" t="s">
        <v>629</v>
      </c>
      <c r="D21" s="32">
        <v>1</v>
      </c>
    </row>
    <row r="22" spans="1:4" x14ac:dyDescent="0.25">
      <c r="A22" s="31" t="s">
        <v>89</v>
      </c>
      <c r="B22" s="32">
        <v>2004</v>
      </c>
      <c r="C22" s="32" t="s">
        <v>629</v>
      </c>
      <c r="D22" s="32">
        <v>1</v>
      </c>
    </row>
    <row r="23" spans="1:4" x14ac:dyDescent="0.25">
      <c r="A23" s="31" t="s">
        <v>65</v>
      </c>
      <c r="B23" s="32">
        <v>2405</v>
      </c>
      <c r="C23" s="32" t="s">
        <v>606</v>
      </c>
      <c r="D23" s="32">
        <v>1</v>
      </c>
    </row>
    <row r="24" spans="1:4" x14ac:dyDescent="0.25">
      <c r="A24" s="31" t="s">
        <v>167</v>
      </c>
      <c r="B24" s="32" t="s">
        <v>335</v>
      </c>
      <c r="C24" s="32" t="s">
        <v>651</v>
      </c>
      <c r="D24" s="32">
        <v>4</v>
      </c>
    </row>
    <row r="25" spans="1:4" x14ac:dyDescent="0.25">
      <c r="A25" s="31" t="s">
        <v>95</v>
      </c>
      <c r="B25" s="32">
        <v>2011</v>
      </c>
      <c r="C25" s="32" t="s">
        <v>629</v>
      </c>
      <c r="D25" s="32">
        <v>1</v>
      </c>
    </row>
    <row r="26" spans="1:4" x14ac:dyDescent="0.25">
      <c r="A26" s="31" t="s">
        <v>337</v>
      </c>
      <c r="B26" s="32" t="s">
        <v>336</v>
      </c>
      <c r="C26" s="32" t="s">
        <v>651</v>
      </c>
      <c r="D26" s="32">
        <v>4</v>
      </c>
    </row>
    <row r="27" spans="1:4" x14ac:dyDescent="0.25">
      <c r="A27" s="31" t="s">
        <v>136</v>
      </c>
      <c r="B27" s="32">
        <v>5201</v>
      </c>
      <c r="C27" s="32" t="s">
        <v>629</v>
      </c>
      <c r="D27" s="32">
        <v>1</v>
      </c>
    </row>
    <row r="28" spans="1:4" x14ac:dyDescent="0.25">
      <c r="A28" s="31" t="s">
        <v>338</v>
      </c>
      <c r="B28" s="32">
        <v>206124</v>
      </c>
      <c r="C28" s="32" t="s">
        <v>651</v>
      </c>
      <c r="D28" s="32">
        <v>4</v>
      </c>
    </row>
    <row r="29" spans="1:4" x14ac:dyDescent="0.25">
      <c r="A29" s="31" t="s">
        <v>109</v>
      </c>
      <c r="B29" s="32">
        <v>2026</v>
      </c>
      <c r="C29" s="32" t="s">
        <v>629</v>
      </c>
      <c r="D29" s="32">
        <v>1</v>
      </c>
    </row>
    <row r="30" spans="1:4" x14ac:dyDescent="0.25">
      <c r="A30" s="31" t="s">
        <v>340</v>
      </c>
      <c r="B30" s="32" t="s">
        <v>339</v>
      </c>
      <c r="C30" s="32" t="s">
        <v>651</v>
      </c>
      <c r="D30" s="32">
        <v>4</v>
      </c>
    </row>
    <row r="31" spans="1:4" x14ac:dyDescent="0.25">
      <c r="A31" s="31" t="s">
        <v>101</v>
      </c>
      <c r="B31" s="32">
        <v>2018</v>
      </c>
      <c r="C31" s="32" t="s">
        <v>629</v>
      </c>
      <c r="D31" s="32">
        <v>1</v>
      </c>
    </row>
    <row r="32" spans="1:4" x14ac:dyDescent="0.25">
      <c r="A32" s="24" t="s">
        <v>156</v>
      </c>
      <c r="B32" s="288" t="s">
        <v>269</v>
      </c>
      <c r="C32" s="290">
        <v>0</v>
      </c>
      <c r="D32" s="32">
        <v>0</v>
      </c>
    </row>
    <row r="33" spans="1:4" x14ac:dyDescent="0.25">
      <c r="A33" s="31" t="s">
        <v>122</v>
      </c>
      <c r="B33" s="32">
        <v>2512</v>
      </c>
      <c r="C33" s="32" t="s">
        <v>629</v>
      </c>
      <c r="D33" s="32">
        <v>1</v>
      </c>
    </row>
    <row r="34" spans="1:4" x14ac:dyDescent="0.25">
      <c r="A34" s="31" t="s">
        <v>341</v>
      </c>
      <c r="B34" s="32">
        <v>206126</v>
      </c>
      <c r="C34" s="32" t="s">
        <v>651</v>
      </c>
      <c r="D34" s="32">
        <v>4</v>
      </c>
    </row>
    <row r="35" spans="1:4" x14ac:dyDescent="0.25">
      <c r="A35" s="31" t="s">
        <v>342</v>
      </c>
      <c r="B35" s="32">
        <v>206111</v>
      </c>
      <c r="C35" s="32" t="s">
        <v>591</v>
      </c>
      <c r="D35" s="32">
        <v>3</v>
      </c>
    </row>
    <row r="36" spans="1:4" x14ac:dyDescent="0.25">
      <c r="A36" s="31" t="s">
        <v>343</v>
      </c>
      <c r="B36" s="32">
        <v>206091</v>
      </c>
      <c r="C36" s="32" t="s">
        <v>591</v>
      </c>
      <c r="D36" s="32">
        <v>3</v>
      </c>
    </row>
    <row r="37" spans="1:4" x14ac:dyDescent="0.25">
      <c r="A37" s="31" t="s">
        <v>115</v>
      </c>
      <c r="B37" s="32">
        <v>2456</v>
      </c>
      <c r="C37" s="32" t="s">
        <v>629</v>
      </c>
      <c r="D37" s="32">
        <v>1</v>
      </c>
    </row>
    <row r="38" spans="1:4" x14ac:dyDescent="0.25">
      <c r="A38" s="31" t="s">
        <v>110</v>
      </c>
      <c r="B38" s="32">
        <v>2027</v>
      </c>
      <c r="C38" s="32" t="s">
        <v>629</v>
      </c>
      <c r="D38" s="32">
        <v>1</v>
      </c>
    </row>
    <row r="39" spans="1:4" x14ac:dyDescent="0.25">
      <c r="A39" s="31" t="s">
        <v>73</v>
      </c>
      <c r="B39" s="32">
        <v>2449</v>
      </c>
      <c r="C39" s="32" t="s">
        <v>606</v>
      </c>
      <c r="D39" s="32">
        <v>1</v>
      </c>
    </row>
    <row r="40" spans="1:4" x14ac:dyDescent="0.25">
      <c r="A40" s="31" t="s">
        <v>102</v>
      </c>
      <c r="B40" s="32">
        <v>2019</v>
      </c>
      <c r="C40" s="32">
        <v>0</v>
      </c>
      <c r="D40" s="32">
        <v>0</v>
      </c>
    </row>
    <row r="41" spans="1:4" x14ac:dyDescent="0.25">
      <c r="A41" s="31" t="s">
        <v>325</v>
      </c>
      <c r="B41" s="32">
        <v>1006</v>
      </c>
      <c r="C41" s="32" t="s">
        <v>592</v>
      </c>
      <c r="D41" s="32">
        <v>2</v>
      </c>
    </row>
    <row r="42" spans="1:4" x14ac:dyDescent="0.25">
      <c r="A42" s="31" t="s">
        <v>119</v>
      </c>
      <c r="B42" s="32">
        <v>2467</v>
      </c>
      <c r="C42" s="32" t="s">
        <v>629</v>
      </c>
      <c r="D42" s="32">
        <v>1</v>
      </c>
    </row>
    <row r="43" spans="1:4" x14ac:dyDescent="0.25">
      <c r="A43" s="31" t="s">
        <v>145</v>
      </c>
      <c r="B43" s="32">
        <v>4012</v>
      </c>
      <c r="C43" s="32">
        <v>0</v>
      </c>
      <c r="D43" s="32">
        <v>0</v>
      </c>
    </row>
    <row r="44" spans="1:4" x14ac:dyDescent="0.25">
      <c r="A44" s="31" t="s">
        <v>114</v>
      </c>
      <c r="B44" s="32">
        <v>2455</v>
      </c>
      <c r="C44" s="32">
        <v>0</v>
      </c>
      <c r="D44" s="32">
        <v>0</v>
      </c>
    </row>
    <row r="45" spans="1:4" x14ac:dyDescent="0.25">
      <c r="A45" s="31" t="s">
        <v>137</v>
      </c>
      <c r="B45" s="32">
        <v>5203</v>
      </c>
      <c r="C45" s="32">
        <v>0</v>
      </c>
      <c r="D45" s="32">
        <v>0</v>
      </c>
    </row>
    <row r="46" spans="1:4" x14ac:dyDescent="0.25">
      <c r="A46" s="31" t="s">
        <v>113</v>
      </c>
      <c r="B46" s="32">
        <v>2451</v>
      </c>
      <c r="C46" s="32" t="s">
        <v>629</v>
      </c>
      <c r="D46" s="32">
        <v>1</v>
      </c>
    </row>
    <row r="47" spans="1:4" x14ac:dyDescent="0.25">
      <c r="A47" s="31" t="s">
        <v>488</v>
      </c>
      <c r="B47" s="32" t="s">
        <v>487</v>
      </c>
      <c r="C47" s="32" t="s">
        <v>591</v>
      </c>
      <c r="D47" s="32">
        <v>3</v>
      </c>
    </row>
    <row r="48" spans="1:4" x14ac:dyDescent="0.25">
      <c r="A48" s="31" t="s">
        <v>344</v>
      </c>
      <c r="B48" s="32">
        <v>206128</v>
      </c>
      <c r="C48" s="32" t="s">
        <v>591</v>
      </c>
      <c r="D48" s="32">
        <v>3</v>
      </c>
    </row>
    <row r="49" spans="1:4" x14ac:dyDescent="0.25">
      <c r="A49" s="31" t="s">
        <v>142</v>
      </c>
      <c r="B49" s="32">
        <v>4008</v>
      </c>
      <c r="C49" s="32">
        <v>0</v>
      </c>
      <c r="D49" s="32">
        <v>0</v>
      </c>
    </row>
    <row r="50" spans="1:4" x14ac:dyDescent="0.25">
      <c r="A50" s="31" t="s">
        <v>106</v>
      </c>
      <c r="B50" s="32">
        <v>2023</v>
      </c>
      <c r="C50" s="32" t="s">
        <v>629</v>
      </c>
      <c r="D50" s="32">
        <v>1</v>
      </c>
    </row>
    <row r="51" spans="1:4" x14ac:dyDescent="0.25">
      <c r="A51" s="31" t="s">
        <v>141</v>
      </c>
      <c r="B51" s="32">
        <v>4007</v>
      </c>
      <c r="C51" s="32">
        <v>0</v>
      </c>
      <c r="D51" s="32">
        <v>0</v>
      </c>
    </row>
    <row r="52" spans="1:4" x14ac:dyDescent="0.25">
      <c r="A52" s="31" t="s">
        <v>66</v>
      </c>
      <c r="B52" s="32">
        <v>2409</v>
      </c>
      <c r="C52" s="32" t="s">
        <v>606</v>
      </c>
      <c r="D52" s="32">
        <v>0</v>
      </c>
    </row>
    <row r="53" spans="1:4" x14ac:dyDescent="0.25">
      <c r="A53" s="31" t="s">
        <v>581</v>
      </c>
      <c r="B53" s="32">
        <v>2682783</v>
      </c>
      <c r="C53" s="32" t="s">
        <v>591</v>
      </c>
      <c r="D53" s="32">
        <v>3</v>
      </c>
    </row>
    <row r="54" spans="1:4" x14ac:dyDescent="0.25">
      <c r="A54" s="31" t="s">
        <v>138</v>
      </c>
      <c r="B54" s="32">
        <v>4004</v>
      </c>
      <c r="C54" s="32">
        <v>0</v>
      </c>
      <c r="D54" s="32">
        <v>0</v>
      </c>
    </row>
    <row r="55" spans="1:4" x14ac:dyDescent="0.25">
      <c r="A55" s="31" t="s">
        <v>360</v>
      </c>
      <c r="B55" s="32" t="s">
        <v>359</v>
      </c>
      <c r="C55" s="32" t="s">
        <v>591</v>
      </c>
      <c r="D55" s="32">
        <v>3</v>
      </c>
    </row>
    <row r="56" spans="1:4" x14ac:dyDescent="0.25">
      <c r="A56" s="31" t="s">
        <v>345</v>
      </c>
      <c r="B56" s="32">
        <v>205999</v>
      </c>
      <c r="C56" s="32" t="s">
        <v>591</v>
      </c>
      <c r="D56" s="32">
        <v>3</v>
      </c>
    </row>
    <row r="57" spans="1:4" x14ac:dyDescent="0.25">
      <c r="A57" s="31" t="s">
        <v>347</v>
      </c>
      <c r="B57" s="32" t="s">
        <v>346</v>
      </c>
      <c r="C57" s="32" t="s">
        <v>591</v>
      </c>
      <c r="D57" s="32">
        <v>3</v>
      </c>
    </row>
    <row r="58" spans="1:4" x14ac:dyDescent="0.25">
      <c r="A58" s="31" t="s">
        <v>349</v>
      </c>
      <c r="B58" s="32" t="s">
        <v>348</v>
      </c>
      <c r="C58" s="32" t="s">
        <v>591</v>
      </c>
      <c r="D58" s="32">
        <v>3</v>
      </c>
    </row>
    <row r="59" spans="1:4" x14ac:dyDescent="0.25">
      <c r="A59" s="31" t="s">
        <v>350</v>
      </c>
      <c r="B59" s="32">
        <v>205921</v>
      </c>
      <c r="C59" s="32" t="s">
        <v>591</v>
      </c>
      <c r="D59" s="32">
        <v>3</v>
      </c>
    </row>
    <row r="60" spans="1:4" x14ac:dyDescent="0.25">
      <c r="A60" s="31" t="s">
        <v>351</v>
      </c>
      <c r="B60" s="32">
        <v>206011</v>
      </c>
      <c r="C60" s="32" t="s">
        <v>591</v>
      </c>
      <c r="D60" s="32">
        <v>3</v>
      </c>
    </row>
    <row r="61" spans="1:4" x14ac:dyDescent="0.25">
      <c r="A61" s="31" t="s">
        <v>352</v>
      </c>
      <c r="B61" s="32">
        <v>2723862</v>
      </c>
      <c r="C61" s="32" t="s">
        <v>591</v>
      </c>
      <c r="D61" s="32">
        <v>3</v>
      </c>
    </row>
    <row r="62" spans="1:4" x14ac:dyDescent="0.25">
      <c r="A62" s="31" t="s">
        <v>354</v>
      </c>
      <c r="B62" s="32" t="s">
        <v>353</v>
      </c>
      <c r="C62" s="32" t="s">
        <v>591</v>
      </c>
      <c r="D62" s="32">
        <v>3</v>
      </c>
    </row>
    <row r="63" spans="1:4" x14ac:dyDescent="0.25">
      <c r="A63" s="31" t="s">
        <v>356</v>
      </c>
      <c r="B63" s="32" t="s">
        <v>355</v>
      </c>
      <c r="C63" s="32" t="s">
        <v>591</v>
      </c>
      <c r="D63" s="32">
        <v>3</v>
      </c>
    </row>
    <row r="64" spans="1:4" x14ac:dyDescent="0.25">
      <c r="A64" s="31" t="s">
        <v>358</v>
      </c>
      <c r="B64" s="32" t="s">
        <v>357</v>
      </c>
      <c r="C64" s="32" t="s">
        <v>591</v>
      </c>
      <c r="D64" s="32">
        <v>3</v>
      </c>
    </row>
    <row r="65" spans="1:4" x14ac:dyDescent="0.25">
      <c r="A65" s="31" t="s">
        <v>361</v>
      </c>
      <c r="B65" s="32">
        <v>2549324</v>
      </c>
      <c r="C65" s="32" t="s">
        <v>591</v>
      </c>
      <c r="D65" s="32">
        <v>3</v>
      </c>
    </row>
    <row r="66" spans="1:4" x14ac:dyDescent="0.25">
      <c r="A66" s="31" t="s">
        <v>364</v>
      </c>
      <c r="B66" s="32">
        <v>2519477</v>
      </c>
      <c r="C66" s="32" t="s">
        <v>591</v>
      </c>
      <c r="D66" s="32">
        <v>3</v>
      </c>
    </row>
    <row r="67" spans="1:4" x14ac:dyDescent="0.25">
      <c r="A67" s="31" t="s">
        <v>363</v>
      </c>
      <c r="B67" s="32" t="s">
        <v>362</v>
      </c>
      <c r="C67" s="32" t="s">
        <v>591</v>
      </c>
      <c r="D67" s="32">
        <v>3</v>
      </c>
    </row>
    <row r="68" spans="1:4" x14ac:dyDescent="0.25">
      <c r="A68" s="31" t="s">
        <v>366</v>
      </c>
      <c r="B68" s="32" t="s">
        <v>365</v>
      </c>
      <c r="C68" s="32" t="s">
        <v>591</v>
      </c>
      <c r="D68" s="32">
        <v>3</v>
      </c>
    </row>
    <row r="69" spans="1:4" x14ac:dyDescent="0.25">
      <c r="A69" s="31" t="s">
        <v>368</v>
      </c>
      <c r="B69" s="32" t="s">
        <v>367</v>
      </c>
      <c r="C69" s="32" t="s">
        <v>591</v>
      </c>
      <c r="D69" s="32">
        <v>3</v>
      </c>
    </row>
    <row r="70" spans="1:4" x14ac:dyDescent="0.25">
      <c r="A70" s="31" t="s">
        <v>369</v>
      </c>
      <c r="B70" s="32">
        <v>205852</v>
      </c>
      <c r="C70" s="32" t="s">
        <v>591</v>
      </c>
      <c r="D70" s="32">
        <v>3</v>
      </c>
    </row>
    <row r="71" spans="1:4" x14ac:dyDescent="0.25">
      <c r="A71" s="31" t="s">
        <v>370</v>
      </c>
      <c r="B71" s="32">
        <v>205902</v>
      </c>
      <c r="C71" s="32" t="s">
        <v>591</v>
      </c>
      <c r="D71" s="32">
        <v>3</v>
      </c>
    </row>
    <row r="72" spans="1:4" x14ac:dyDescent="0.25">
      <c r="A72" s="31" t="s">
        <v>371</v>
      </c>
      <c r="B72" s="32">
        <v>205922</v>
      </c>
      <c r="C72" s="32" t="s">
        <v>591</v>
      </c>
      <c r="D72" s="32">
        <v>3</v>
      </c>
    </row>
    <row r="73" spans="1:4" x14ac:dyDescent="0.25">
      <c r="A73" s="31" t="s">
        <v>373</v>
      </c>
      <c r="B73" s="32" t="s">
        <v>372</v>
      </c>
      <c r="C73" s="32" t="s">
        <v>591</v>
      </c>
      <c r="D73" s="32">
        <v>3</v>
      </c>
    </row>
    <row r="74" spans="1:4" x14ac:dyDescent="0.25">
      <c r="A74" s="31" t="s">
        <v>375</v>
      </c>
      <c r="B74" s="32" t="s">
        <v>374</v>
      </c>
      <c r="C74" s="32" t="s">
        <v>591</v>
      </c>
      <c r="D74" s="32">
        <v>3</v>
      </c>
    </row>
    <row r="75" spans="1:4" x14ac:dyDescent="0.25">
      <c r="A75" s="31" t="s">
        <v>376</v>
      </c>
      <c r="B75" s="32">
        <v>205947</v>
      </c>
      <c r="C75" s="32" t="s">
        <v>591</v>
      </c>
      <c r="D75" s="32">
        <v>3</v>
      </c>
    </row>
    <row r="76" spans="1:4" x14ac:dyDescent="0.25">
      <c r="A76" s="31" t="s">
        <v>377</v>
      </c>
      <c r="B76" s="32">
        <v>205919</v>
      </c>
      <c r="C76" s="32" t="s">
        <v>591</v>
      </c>
      <c r="D76" s="32">
        <v>3</v>
      </c>
    </row>
    <row r="77" spans="1:4" x14ac:dyDescent="0.25">
      <c r="A77" s="31" t="s">
        <v>379</v>
      </c>
      <c r="B77" s="32" t="s">
        <v>378</v>
      </c>
      <c r="C77" s="32" t="s">
        <v>591</v>
      </c>
      <c r="D77" s="32">
        <v>3</v>
      </c>
    </row>
    <row r="78" spans="1:4" x14ac:dyDescent="0.25">
      <c r="A78" s="31" t="s">
        <v>772</v>
      </c>
      <c r="B78" s="32" t="s">
        <v>382</v>
      </c>
      <c r="C78" s="32" t="s">
        <v>591</v>
      </c>
      <c r="D78" s="32">
        <v>3</v>
      </c>
    </row>
    <row r="79" spans="1:4" x14ac:dyDescent="0.25">
      <c r="A79" s="31" t="s">
        <v>381</v>
      </c>
      <c r="B79" s="32" t="s">
        <v>380</v>
      </c>
      <c r="C79" s="32" t="s">
        <v>591</v>
      </c>
      <c r="D79" s="32">
        <v>3</v>
      </c>
    </row>
    <row r="80" spans="1:4" x14ac:dyDescent="0.25">
      <c r="A80" s="31" t="s">
        <v>384</v>
      </c>
      <c r="B80" s="32">
        <v>205879</v>
      </c>
      <c r="C80" s="32" t="s">
        <v>591</v>
      </c>
      <c r="D80" s="32">
        <v>3</v>
      </c>
    </row>
    <row r="81" spans="1:4" x14ac:dyDescent="0.25">
      <c r="A81" s="31" t="s">
        <v>386</v>
      </c>
      <c r="B81" s="32" t="s">
        <v>385</v>
      </c>
      <c r="C81" s="32" t="s">
        <v>591</v>
      </c>
      <c r="D81" s="32">
        <v>3</v>
      </c>
    </row>
    <row r="82" spans="1:4" x14ac:dyDescent="0.25">
      <c r="A82" s="31" t="s">
        <v>388</v>
      </c>
      <c r="B82" s="32" t="s">
        <v>387</v>
      </c>
      <c r="C82" s="32" t="s">
        <v>591</v>
      </c>
      <c r="D82" s="32">
        <v>3</v>
      </c>
    </row>
    <row r="83" spans="1:4" x14ac:dyDescent="0.25">
      <c r="A83" s="31" t="s">
        <v>390</v>
      </c>
      <c r="B83" s="32" t="s">
        <v>389</v>
      </c>
      <c r="C83" s="32" t="s">
        <v>591</v>
      </c>
      <c r="D83" s="32">
        <v>3</v>
      </c>
    </row>
    <row r="84" spans="1:4" x14ac:dyDescent="0.25">
      <c r="A84" s="31" t="s">
        <v>392</v>
      </c>
      <c r="B84" s="32" t="s">
        <v>391</v>
      </c>
      <c r="C84" s="32" t="s">
        <v>591</v>
      </c>
      <c r="D84" s="32">
        <v>3</v>
      </c>
    </row>
    <row r="85" spans="1:4" x14ac:dyDescent="0.25">
      <c r="A85" s="31" t="s">
        <v>393</v>
      </c>
      <c r="B85" s="32">
        <v>2617229</v>
      </c>
      <c r="C85" s="32" t="s">
        <v>591</v>
      </c>
      <c r="D85" s="32">
        <v>3</v>
      </c>
    </row>
    <row r="86" spans="1:4" x14ac:dyDescent="0.25">
      <c r="A86" s="31" t="s">
        <v>394</v>
      </c>
      <c r="B86" s="32">
        <v>2690888</v>
      </c>
      <c r="C86" s="32" t="s">
        <v>591</v>
      </c>
      <c r="D86" s="32">
        <v>3</v>
      </c>
    </row>
    <row r="87" spans="1:4" x14ac:dyDescent="0.25">
      <c r="A87" s="31" t="s">
        <v>395</v>
      </c>
      <c r="B87" s="32">
        <v>2709812</v>
      </c>
      <c r="C87" s="32" t="s">
        <v>591</v>
      </c>
      <c r="D87" s="32">
        <v>3</v>
      </c>
    </row>
    <row r="88" spans="1:4" x14ac:dyDescent="0.25">
      <c r="A88" s="31" t="s">
        <v>396</v>
      </c>
      <c r="B88" s="32">
        <v>2559906</v>
      </c>
      <c r="C88" s="32" t="s">
        <v>591</v>
      </c>
      <c r="D88" s="32">
        <v>3</v>
      </c>
    </row>
    <row r="89" spans="1:4" x14ac:dyDescent="0.25">
      <c r="A89" s="31" t="s">
        <v>398</v>
      </c>
      <c r="B89" s="32" t="s">
        <v>397</v>
      </c>
      <c r="C89" s="32" t="s">
        <v>591</v>
      </c>
      <c r="D89" s="32">
        <v>3</v>
      </c>
    </row>
    <row r="90" spans="1:4" x14ac:dyDescent="0.25">
      <c r="A90" s="31" t="s">
        <v>399</v>
      </c>
      <c r="B90" s="32">
        <v>2562992</v>
      </c>
      <c r="C90" s="32" t="s">
        <v>591</v>
      </c>
      <c r="D90" s="32">
        <v>3</v>
      </c>
    </row>
    <row r="91" spans="1:4" x14ac:dyDescent="0.25">
      <c r="A91" s="31" t="s">
        <v>401</v>
      </c>
      <c r="B91" s="32" t="s">
        <v>400</v>
      </c>
      <c r="C91" s="32" t="s">
        <v>591</v>
      </c>
      <c r="D91" s="32">
        <v>3</v>
      </c>
    </row>
    <row r="92" spans="1:4" x14ac:dyDescent="0.25">
      <c r="A92" s="31" t="s">
        <v>403</v>
      </c>
      <c r="B92" s="32" t="s">
        <v>402</v>
      </c>
      <c r="C92" s="32" t="s">
        <v>591</v>
      </c>
      <c r="D92" s="32">
        <v>3</v>
      </c>
    </row>
    <row r="93" spans="1:4" x14ac:dyDescent="0.25">
      <c r="A93" s="31" t="s">
        <v>404</v>
      </c>
      <c r="B93" s="32">
        <v>205881</v>
      </c>
      <c r="C93" s="32" t="s">
        <v>591</v>
      </c>
      <c r="D93" s="32">
        <v>3</v>
      </c>
    </row>
    <row r="94" spans="1:4" x14ac:dyDescent="0.25">
      <c r="A94" s="31" t="s">
        <v>406</v>
      </c>
      <c r="B94" s="32" t="s">
        <v>405</v>
      </c>
      <c r="C94" s="32" t="s">
        <v>591</v>
      </c>
      <c r="D94" s="32">
        <v>3</v>
      </c>
    </row>
    <row r="95" spans="1:4" x14ac:dyDescent="0.25">
      <c r="A95" s="31" t="s">
        <v>773</v>
      </c>
      <c r="B95" s="32" t="s">
        <v>407</v>
      </c>
      <c r="C95" s="32" t="s">
        <v>591</v>
      </c>
      <c r="D95" s="32">
        <v>3</v>
      </c>
    </row>
    <row r="96" spans="1:4" x14ac:dyDescent="0.25">
      <c r="A96" s="31" t="s">
        <v>410</v>
      </c>
      <c r="B96" s="32" t="s">
        <v>409</v>
      </c>
      <c r="C96" s="262" t="s">
        <v>591</v>
      </c>
      <c r="D96" s="262">
        <v>3</v>
      </c>
    </row>
    <row r="97" spans="1:4" x14ac:dyDescent="0.25">
      <c r="A97" s="31" t="s">
        <v>411</v>
      </c>
      <c r="B97" s="32">
        <v>2575281</v>
      </c>
      <c r="C97" s="262" t="s">
        <v>591</v>
      </c>
      <c r="D97" s="262">
        <v>3</v>
      </c>
    </row>
    <row r="98" spans="1:4" x14ac:dyDescent="0.25">
      <c r="A98" s="31" t="s">
        <v>413</v>
      </c>
      <c r="B98" s="32" t="s">
        <v>412</v>
      </c>
      <c r="C98" s="262" t="s">
        <v>591</v>
      </c>
      <c r="D98" s="262">
        <v>3</v>
      </c>
    </row>
    <row r="99" spans="1:4" x14ac:dyDescent="0.25">
      <c r="A99" s="31" t="s">
        <v>414</v>
      </c>
      <c r="B99" s="32">
        <v>306845</v>
      </c>
      <c r="C99" s="262" t="s">
        <v>591</v>
      </c>
      <c r="D99" s="262">
        <v>3</v>
      </c>
    </row>
    <row r="100" spans="1:4" x14ac:dyDescent="0.25">
      <c r="A100" s="31" t="s">
        <v>415</v>
      </c>
      <c r="B100" s="32">
        <v>2518126</v>
      </c>
      <c r="C100" s="262" t="s">
        <v>591</v>
      </c>
      <c r="D100" s="262">
        <v>3</v>
      </c>
    </row>
    <row r="101" spans="1:4" x14ac:dyDescent="0.25">
      <c r="A101" s="31" t="s">
        <v>417</v>
      </c>
      <c r="B101" s="32" t="s">
        <v>416</v>
      </c>
      <c r="C101" s="262" t="s">
        <v>591</v>
      </c>
      <c r="D101" s="262">
        <v>3</v>
      </c>
    </row>
    <row r="102" spans="1:4" x14ac:dyDescent="0.25">
      <c r="A102" s="31" t="s">
        <v>419</v>
      </c>
      <c r="B102" s="32" t="s">
        <v>418</v>
      </c>
      <c r="C102" s="262" t="s">
        <v>591</v>
      </c>
      <c r="D102" s="262">
        <v>3</v>
      </c>
    </row>
    <row r="103" spans="1:4" x14ac:dyDescent="0.25">
      <c r="A103" s="31" t="s">
        <v>423</v>
      </c>
      <c r="B103" s="32" t="s">
        <v>422</v>
      </c>
      <c r="C103" s="262" t="s">
        <v>591</v>
      </c>
      <c r="D103" s="262">
        <v>3</v>
      </c>
    </row>
    <row r="104" spans="1:4" x14ac:dyDescent="0.25">
      <c r="A104" s="31" t="s">
        <v>421</v>
      </c>
      <c r="B104" s="32" t="s">
        <v>420</v>
      </c>
      <c r="C104" s="262" t="s">
        <v>591</v>
      </c>
      <c r="D104" s="262">
        <v>3</v>
      </c>
    </row>
    <row r="105" spans="1:4" x14ac:dyDescent="0.25">
      <c r="A105" s="31" t="s">
        <v>424</v>
      </c>
      <c r="B105" s="32">
        <v>205878</v>
      </c>
      <c r="C105" s="262" t="s">
        <v>591</v>
      </c>
      <c r="D105" s="262">
        <v>3</v>
      </c>
    </row>
    <row r="106" spans="1:4" x14ac:dyDescent="0.25">
      <c r="A106" s="31" t="s">
        <v>429</v>
      </c>
      <c r="B106" s="32">
        <v>2675728</v>
      </c>
      <c r="C106" s="262" t="s">
        <v>591</v>
      </c>
      <c r="D106" s="262">
        <v>3</v>
      </c>
    </row>
    <row r="107" spans="1:4" x14ac:dyDescent="0.25">
      <c r="A107" s="31" t="s">
        <v>426</v>
      </c>
      <c r="B107" s="32" t="s">
        <v>425</v>
      </c>
      <c r="C107" s="262" t="s">
        <v>591</v>
      </c>
      <c r="D107" s="262">
        <v>3</v>
      </c>
    </row>
    <row r="108" spans="1:4" x14ac:dyDescent="0.25">
      <c r="A108" s="31" t="s">
        <v>430</v>
      </c>
      <c r="B108" s="32">
        <v>2578607</v>
      </c>
      <c r="C108" s="262" t="s">
        <v>591</v>
      </c>
      <c r="D108" s="262">
        <v>3</v>
      </c>
    </row>
    <row r="109" spans="1:4" x14ac:dyDescent="0.25">
      <c r="A109" s="31" t="s">
        <v>428</v>
      </c>
      <c r="B109" s="32" t="s">
        <v>427</v>
      </c>
      <c r="C109" s="262" t="s">
        <v>591</v>
      </c>
      <c r="D109" s="262">
        <v>3</v>
      </c>
    </row>
    <row r="110" spans="1:4" x14ac:dyDescent="0.25">
      <c r="A110" s="31" t="s">
        <v>432</v>
      </c>
      <c r="B110" s="32" t="s">
        <v>431</v>
      </c>
      <c r="C110" s="262" t="s">
        <v>591</v>
      </c>
      <c r="D110" s="262">
        <v>3</v>
      </c>
    </row>
    <row r="111" spans="1:4" x14ac:dyDescent="0.25">
      <c r="A111" s="31" t="s">
        <v>434</v>
      </c>
      <c r="B111" s="32" t="s">
        <v>433</v>
      </c>
      <c r="C111" s="262" t="s">
        <v>591</v>
      </c>
      <c r="D111" s="262">
        <v>3</v>
      </c>
    </row>
    <row r="112" spans="1:4" x14ac:dyDescent="0.25">
      <c r="A112" s="31" t="s">
        <v>436</v>
      </c>
      <c r="B112" s="32" t="s">
        <v>435</v>
      </c>
      <c r="C112" s="262" t="s">
        <v>591</v>
      </c>
      <c r="D112" s="262">
        <v>3</v>
      </c>
    </row>
    <row r="113" spans="1:4" x14ac:dyDescent="0.25">
      <c r="A113" s="31" t="s">
        <v>438</v>
      </c>
      <c r="B113" s="32" t="s">
        <v>437</v>
      </c>
      <c r="C113" s="262" t="s">
        <v>591</v>
      </c>
      <c r="D113" s="262">
        <v>3</v>
      </c>
    </row>
    <row r="114" spans="1:4" x14ac:dyDescent="0.25">
      <c r="A114" s="31" t="s">
        <v>440</v>
      </c>
      <c r="B114" s="32" t="s">
        <v>439</v>
      </c>
      <c r="C114" s="262" t="s">
        <v>591</v>
      </c>
      <c r="D114" s="262">
        <v>3</v>
      </c>
    </row>
    <row r="115" spans="1:4" x14ac:dyDescent="0.25">
      <c r="A115" s="31" t="s">
        <v>442</v>
      </c>
      <c r="B115" s="32" t="s">
        <v>441</v>
      </c>
      <c r="C115" s="262" t="s">
        <v>591</v>
      </c>
      <c r="D115" s="262">
        <v>3</v>
      </c>
    </row>
    <row r="116" spans="1:4" x14ac:dyDescent="0.25">
      <c r="A116" s="31" t="s">
        <v>444</v>
      </c>
      <c r="B116" s="32" t="s">
        <v>443</v>
      </c>
      <c r="C116" s="262" t="s">
        <v>591</v>
      </c>
      <c r="D116" s="262">
        <v>3</v>
      </c>
    </row>
    <row r="117" spans="1:4" x14ac:dyDescent="0.25">
      <c r="A117" s="31" t="s">
        <v>446</v>
      </c>
      <c r="B117" s="32" t="s">
        <v>445</v>
      </c>
      <c r="C117" s="262" t="s">
        <v>591</v>
      </c>
      <c r="D117" s="262">
        <v>3</v>
      </c>
    </row>
    <row r="118" spans="1:4" x14ac:dyDescent="0.25">
      <c r="A118" s="31" t="s">
        <v>448</v>
      </c>
      <c r="B118" s="32" t="s">
        <v>447</v>
      </c>
      <c r="C118" s="262" t="s">
        <v>591</v>
      </c>
      <c r="D118" s="262">
        <v>3</v>
      </c>
    </row>
    <row r="119" spans="1:4" x14ac:dyDescent="0.25">
      <c r="A119" s="31" t="s">
        <v>449</v>
      </c>
      <c r="B119" s="32">
        <v>206046</v>
      </c>
      <c r="C119" s="262" t="s">
        <v>591</v>
      </c>
      <c r="D119" s="262">
        <v>3</v>
      </c>
    </row>
    <row r="120" spans="1:4" x14ac:dyDescent="0.25">
      <c r="A120" s="31" t="s">
        <v>451</v>
      </c>
      <c r="B120" s="32" t="s">
        <v>450</v>
      </c>
      <c r="C120" s="262" t="s">
        <v>591</v>
      </c>
      <c r="D120" s="262">
        <v>3</v>
      </c>
    </row>
    <row r="121" spans="1:4" x14ac:dyDescent="0.25">
      <c r="A121" s="31" t="s">
        <v>453</v>
      </c>
      <c r="B121" s="32" t="s">
        <v>452</v>
      </c>
      <c r="C121" s="262" t="s">
        <v>591</v>
      </c>
      <c r="D121" s="262">
        <v>3</v>
      </c>
    </row>
    <row r="122" spans="1:4" x14ac:dyDescent="0.25">
      <c r="A122" s="31" t="s">
        <v>455</v>
      </c>
      <c r="B122" s="32" t="s">
        <v>454</v>
      </c>
      <c r="C122" s="262" t="s">
        <v>591</v>
      </c>
      <c r="D122" s="262">
        <v>3</v>
      </c>
    </row>
    <row r="123" spans="1:4" x14ac:dyDescent="0.25">
      <c r="A123" s="31" t="s">
        <v>456</v>
      </c>
      <c r="B123" s="32">
        <v>260848</v>
      </c>
      <c r="C123" s="262" t="s">
        <v>591</v>
      </c>
      <c r="D123" s="262">
        <v>3</v>
      </c>
    </row>
    <row r="124" spans="1:4" x14ac:dyDescent="0.25">
      <c r="A124" s="31" t="s">
        <v>457</v>
      </c>
      <c r="B124" s="32">
        <v>205978</v>
      </c>
      <c r="C124" s="262" t="s">
        <v>651</v>
      </c>
      <c r="D124" s="262">
        <v>4</v>
      </c>
    </row>
    <row r="125" spans="1:4" x14ac:dyDescent="0.25">
      <c r="A125" s="31" t="s">
        <v>458</v>
      </c>
      <c r="B125" s="32">
        <v>2563900</v>
      </c>
      <c r="C125" s="262" t="s">
        <v>591</v>
      </c>
      <c r="D125" s="262">
        <v>3</v>
      </c>
    </row>
    <row r="126" spans="1:4" x14ac:dyDescent="0.25">
      <c r="A126" s="31" t="s">
        <v>461</v>
      </c>
      <c r="B126" s="32">
        <v>206043</v>
      </c>
      <c r="C126" s="262" t="s">
        <v>591</v>
      </c>
      <c r="D126" s="262">
        <v>3</v>
      </c>
    </row>
    <row r="127" spans="1:4" x14ac:dyDescent="0.25">
      <c r="A127" s="31" t="s">
        <v>460</v>
      </c>
      <c r="B127" s="32" t="s">
        <v>459</v>
      </c>
      <c r="C127" s="262" t="s">
        <v>591</v>
      </c>
      <c r="D127" s="262">
        <v>3</v>
      </c>
    </row>
    <row r="128" spans="1:4" x14ac:dyDescent="0.25">
      <c r="A128" s="31" t="s">
        <v>463</v>
      </c>
      <c r="B128" s="32" t="s">
        <v>462</v>
      </c>
      <c r="C128" s="262" t="s">
        <v>591</v>
      </c>
      <c r="D128" s="262">
        <v>3</v>
      </c>
    </row>
    <row r="129" spans="1:4" x14ac:dyDescent="0.25">
      <c r="A129" s="31" t="s">
        <v>464</v>
      </c>
      <c r="B129" s="32">
        <v>505502</v>
      </c>
      <c r="C129" s="262" t="s">
        <v>591</v>
      </c>
      <c r="D129" s="262">
        <v>3</v>
      </c>
    </row>
    <row r="130" spans="1:4" x14ac:dyDescent="0.25">
      <c r="A130" s="31" t="s">
        <v>466</v>
      </c>
      <c r="B130" s="32" t="s">
        <v>465</v>
      </c>
      <c r="C130" s="262" t="s">
        <v>591</v>
      </c>
      <c r="D130" s="262">
        <v>3</v>
      </c>
    </row>
    <row r="131" spans="1:4" x14ac:dyDescent="0.25">
      <c r="A131" s="31" t="s">
        <v>468</v>
      </c>
      <c r="B131" s="32" t="s">
        <v>467</v>
      </c>
      <c r="C131" s="262" t="s">
        <v>591</v>
      </c>
      <c r="D131" s="262">
        <v>3</v>
      </c>
    </row>
    <row r="132" spans="1:4" x14ac:dyDescent="0.25">
      <c r="A132" s="31" t="s">
        <v>470</v>
      </c>
      <c r="B132" s="32" t="s">
        <v>469</v>
      </c>
      <c r="C132" s="262" t="s">
        <v>591</v>
      </c>
      <c r="D132" s="262">
        <v>3</v>
      </c>
    </row>
    <row r="133" spans="1:4" x14ac:dyDescent="0.25">
      <c r="A133" s="31" t="s">
        <v>472</v>
      </c>
      <c r="B133" s="32" t="s">
        <v>471</v>
      </c>
      <c r="C133" s="262" t="s">
        <v>591</v>
      </c>
      <c r="D133" s="262">
        <v>3</v>
      </c>
    </row>
    <row r="134" spans="1:4" x14ac:dyDescent="0.25">
      <c r="A134" s="31" t="s">
        <v>474</v>
      </c>
      <c r="B134" s="32" t="s">
        <v>473</v>
      </c>
      <c r="C134" s="262" t="s">
        <v>591</v>
      </c>
      <c r="D134" s="262">
        <v>3</v>
      </c>
    </row>
    <row r="135" spans="1:4" x14ac:dyDescent="0.25">
      <c r="A135" s="31" t="s">
        <v>476</v>
      </c>
      <c r="B135" s="32" t="s">
        <v>475</v>
      </c>
      <c r="C135" s="262" t="s">
        <v>591</v>
      </c>
      <c r="D135" s="262">
        <v>3</v>
      </c>
    </row>
    <row r="136" spans="1:4" x14ac:dyDescent="0.25">
      <c r="A136" s="31" t="s">
        <v>478</v>
      </c>
      <c r="B136" s="32" t="s">
        <v>477</v>
      </c>
      <c r="C136" s="262" t="s">
        <v>591</v>
      </c>
      <c r="D136" s="262">
        <v>3</v>
      </c>
    </row>
    <row r="137" spans="1:4" x14ac:dyDescent="0.25">
      <c r="A137" s="31" t="s">
        <v>480</v>
      </c>
      <c r="B137" s="32" t="s">
        <v>479</v>
      </c>
      <c r="C137" s="262" t="s">
        <v>591</v>
      </c>
      <c r="D137" s="262">
        <v>3</v>
      </c>
    </row>
    <row r="138" spans="1:4" x14ac:dyDescent="0.25">
      <c r="A138" s="31" t="s">
        <v>482</v>
      </c>
      <c r="B138" s="32" t="s">
        <v>481</v>
      </c>
      <c r="C138" s="262" t="s">
        <v>591</v>
      </c>
      <c r="D138" s="262">
        <v>3</v>
      </c>
    </row>
    <row r="139" spans="1:4" x14ac:dyDescent="0.25">
      <c r="A139" s="31" t="s">
        <v>484</v>
      </c>
      <c r="B139" s="32" t="s">
        <v>483</v>
      </c>
      <c r="C139" s="262" t="s">
        <v>591</v>
      </c>
      <c r="D139" s="262">
        <v>3</v>
      </c>
    </row>
    <row r="140" spans="1:4" x14ac:dyDescent="0.25">
      <c r="A140" s="31" t="s">
        <v>146</v>
      </c>
      <c r="B140" s="32">
        <v>4178</v>
      </c>
      <c r="C140" s="262">
        <v>0</v>
      </c>
      <c r="D140" s="262">
        <v>0</v>
      </c>
    </row>
    <row r="141" spans="1:4" x14ac:dyDescent="0.25">
      <c r="A141" s="31" t="s">
        <v>125</v>
      </c>
      <c r="B141" s="32">
        <v>3158</v>
      </c>
      <c r="C141" s="262" t="s">
        <v>629</v>
      </c>
      <c r="D141" s="262">
        <v>1</v>
      </c>
    </row>
    <row r="142" spans="1:4" x14ac:dyDescent="0.25">
      <c r="A142" s="31" t="s">
        <v>99</v>
      </c>
      <c r="B142" s="32">
        <v>2016</v>
      </c>
      <c r="C142" s="262" t="s">
        <v>629</v>
      </c>
      <c r="D142" s="262">
        <v>1</v>
      </c>
    </row>
    <row r="143" spans="1:4" x14ac:dyDescent="0.25">
      <c r="A143" s="31" t="s">
        <v>486</v>
      </c>
      <c r="B143" s="32" t="s">
        <v>485</v>
      </c>
      <c r="C143" s="262" t="s">
        <v>591</v>
      </c>
      <c r="D143" s="262">
        <v>3</v>
      </c>
    </row>
    <row r="144" spans="1:4" x14ac:dyDescent="0.25">
      <c r="A144" s="31" t="s">
        <v>490</v>
      </c>
      <c r="B144" s="32" t="s">
        <v>489</v>
      </c>
      <c r="C144" s="262" t="s">
        <v>591</v>
      </c>
      <c r="D144" s="262">
        <v>3</v>
      </c>
    </row>
    <row r="145" spans="1:4" x14ac:dyDescent="0.25">
      <c r="A145" s="31" t="s">
        <v>492</v>
      </c>
      <c r="B145" s="32" t="s">
        <v>491</v>
      </c>
      <c r="C145" s="262" t="s">
        <v>591</v>
      </c>
      <c r="D145" s="262">
        <v>3</v>
      </c>
    </row>
    <row r="146" spans="1:4" x14ac:dyDescent="0.25">
      <c r="A146" s="31" t="s">
        <v>494</v>
      </c>
      <c r="B146" s="32" t="s">
        <v>493</v>
      </c>
      <c r="C146" s="262" t="s">
        <v>591</v>
      </c>
      <c r="D146" s="262">
        <v>3</v>
      </c>
    </row>
    <row r="147" spans="1:4" x14ac:dyDescent="0.25">
      <c r="A147" s="31" t="s">
        <v>97</v>
      </c>
      <c r="B147" s="32">
        <v>2013</v>
      </c>
      <c r="C147" s="262" t="s">
        <v>629</v>
      </c>
      <c r="D147" s="262">
        <v>1</v>
      </c>
    </row>
    <row r="148" spans="1:4" x14ac:dyDescent="0.25">
      <c r="A148" s="31" t="s">
        <v>495</v>
      </c>
      <c r="B148" s="32">
        <v>206106</v>
      </c>
      <c r="C148" s="262" t="s">
        <v>591</v>
      </c>
      <c r="D148" s="262">
        <v>3</v>
      </c>
    </row>
    <row r="149" spans="1:4" x14ac:dyDescent="0.25">
      <c r="A149" s="31" t="s">
        <v>497</v>
      </c>
      <c r="B149" s="32" t="s">
        <v>496</v>
      </c>
      <c r="C149" s="262" t="s">
        <v>591</v>
      </c>
      <c r="D149" s="262">
        <v>3</v>
      </c>
    </row>
    <row r="150" spans="1:4" x14ac:dyDescent="0.25">
      <c r="A150" s="31" t="s">
        <v>499</v>
      </c>
      <c r="B150" s="32" t="s">
        <v>498</v>
      </c>
      <c r="C150" s="262" t="s">
        <v>591</v>
      </c>
      <c r="D150" s="262">
        <v>3</v>
      </c>
    </row>
    <row r="151" spans="1:4" x14ac:dyDescent="0.25">
      <c r="A151" s="31" t="s">
        <v>75</v>
      </c>
      <c r="B151" s="32">
        <v>2457</v>
      </c>
      <c r="C151" s="262" t="s">
        <v>606</v>
      </c>
      <c r="D151" s="262">
        <v>0</v>
      </c>
    </row>
    <row r="152" spans="1:4" x14ac:dyDescent="0.25">
      <c r="A152" s="31" t="s">
        <v>94</v>
      </c>
      <c r="B152" s="32">
        <v>2010</v>
      </c>
      <c r="C152" s="262" t="s">
        <v>629</v>
      </c>
      <c r="D152" s="262">
        <v>1</v>
      </c>
    </row>
    <row r="153" spans="1:4" x14ac:dyDescent="0.25">
      <c r="A153" s="31" t="s">
        <v>88</v>
      </c>
      <c r="B153" s="32">
        <v>2002</v>
      </c>
      <c r="C153" s="262" t="s">
        <v>629</v>
      </c>
      <c r="D153" s="262">
        <v>1</v>
      </c>
    </row>
    <row r="154" spans="1:4" x14ac:dyDescent="0.25">
      <c r="A154" s="31" t="s">
        <v>107</v>
      </c>
      <c r="B154" s="32">
        <v>2024</v>
      </c>
      <c r="C154" s="262" t="s">
        <v>629</v>
      </c>
      <c r="D154" s="262">
        <v>1</v>
      </c>
    </row>
    <row r="155" spans="1:4" x14ac:dyDescent="0.25">
      <c r="A155" s="31" t="s">
        <v>133</v>
      </c>
      <c r="B155" s="32">
        <v>3544</v>
      </c>
      <c r="C155" s="262" t="s">
        <v>629</v>
      </c>
      <c r="D155" s="262">
        <v>1</v>
      </c>
    </row>
    <row r="156" spans="1:4" x14ac:dyDescent="0.25">
      <c r="A156" s="31" t="s">
        <v>326</v>
      </c>
      <c r="B156" s="32">
        <v>1008</v>
      </c>
      <c r="C156" s="262" t="s">
        <v>592</v>
      </c>
      <c r="D156" s="262">
        <v>2</v>
      </c>
    </row>
    <row r="157" spans="1:4" x14ac:dyDescent="0.25">
      <c r="A157" s="31" t="s">
        <v>501</v>
      </c>
      <c r="B157" s="32" t="s">
        <v>500</v>
      </c>
      <c r="C157" s="262" t="s">
        <v>591</v>
      </c>
      <c r="D157" s="262">
        <v>3</v>
      </c>
    </row>
    <row r="158" spans="1:4" x14ac:dyDescent="0.25">
      <c r="A158" s="31" t="s">
        <v>90</v>
      </c>
      <c r="B158" s="32">
        <v>2006</v>
      </c>
      <c r="C158" s="262" t="s">
        <v>629</v>
      </c>
      <c r="D158" s="262">
        <v>1</v>
      </c>
    </row>
    <row r="159" spans="1:4" x14ac:dyDescent="0.25">
      <c r="A159" s="31" t="s">
        <v>578</v>
      </c>
      <c r="B159" s="32" t="s">
        <v>577</v>
      </c>
      <c r="C159" s="262" t="s">
        <v>591</v>
      </c>
      <c r="D159" s="262">
        <v>3</v>
      </c>
    </row>
    <row r="160" spans="1:4" x14ac:dyDescent="0.25">
      <c r="A160" s="31" t="s">
        <v>503</v>
      </c>
      <c r="B160" s="32" t="s">
        <v>502</v>
      </c>
      <c r="C160" s="262" t="s">
        <v>591</v>
      </c>
      <c r="D160" s="262">
        <v>3</v>
      </c>
    </row>
    <row r="161" spans="1:4" x14ac:dyDescent="0.25">
      <c r="A161" s="24" t="s">
        <v>265</v>
      </c>
      <c r="B161" s="287">
        <v>7026</v>
      </c>
      <c r="C161" s="291">
        <v>0</v>
      </c>
      <c r="D161" s="262">
        <v>0</v>
      </c>
    </row>
    <row r="162" spans="1:4" x14ac:dyDescent="0.25">
      <c r="A162" s="31" t="s">
        <v>504</v>
      </c>
      <c r="B162" s="32">
        <v>206134</v>
      </c>
      <c r="C162" s="262" t="s">
        <v>591</v>
      </c>
      <c r="D162" s="262">
        <v>3</v>
      </c>
    </row>
    <row r="163" spans="1:4" x14ac:dyDescent="0.25">
      <c r="A163" s="31" t="s">
        <v>506</v>
      </c>
      <c r="B163" s="32" t="s">
        <v>505</v>
      </c>
      <c r="C163" s="262" t="s">
        <v>591</v>
      </c>
      <c r="D163" s="262">
        <v>3</v>
      </c>
    </row>
    <row r="164" spans="1:4" x14ac:dyDescent="0.25">
      <c r="A164" s="24" t="s">
        <v>761</v>
      </c>
      <c r="B164" s="287">
        <v>7029</v>
      </c>
      <c r="C164" s="291">
        <v>0</v>
      </c>
      <c r="D164" s="262">
        <v>0</v>
      </c>
    </row>
    <row r="165" spans="1:4" x14ac:dyDescent="0.25">
      <c r="A165" s="31" t="s">
        <v>507</v>
      </c>
      <c r="B165" s="32">
        <v>206109</v>
      </c>
      <c r="C165" s="262" t="s">
        <v>591</v>
      </c>
      <c r="D165" s="262">
        <v>3</v>
      </c>
    </row>
    <row r="166" spans="1:4" x14ac:dyDescent="0.25">
      <c r="A166" s="31" t="s">
        <v>105</v>
      </c>
      <c r="B166" s="32">
        <v>2022</v>
      </c>
      <c r="C166" s="262" t="s">
        <v>629</v>
      </c>
      <c r="D166" s="262">
        <v>1</v>
      </c>
    </row>
    <row r="167" spans="1:4" x14ac:dyDescent="0.25">
      <c r="A167" s="31" t="s">
        <v>93</v>
      </c>
      <c r="B167" s="32">
        <v>2009</v>
      </c>
      <c r="C167" s="262">
        <v>0</v>
      </c>
      <c r="D167" s="262">
        <v>0</v>
      </c>
    </row>
    <row r="168" spans="1:4" x14ac:dyDescent="0.25">
      <c r="A168" s="31" t="s">
        <v>150</v>
      </c>
      <c r="B168" s="32">
        <v>6905</v>
      </c>
      <c r="C168" s="262">
        <v>0</v>
      </c>
      <c r="D168" s="262">
        <v>0</v>
      </c>
    </row>
    <row r="169" spans="1:4" x14ac:dyDescent="0.25">
      <c r="A169" s="31" t="s">
        <v>123</v>
      </c>
      <c r="B169" s="32">
        <v>2522</v>
      </c>
      <c r="C169" s="262">
        <v>0</v>
      </c>
      <c r="D169" s="262">
        <v>0</v>
      </c>
    </row>
    <row r="170" spans="1:4" x14ac:dyDescent="0.25">
      <c r="A170" s="31" t="s">
        <v>508</v>
      </c>
      <c r="B170" s="32">
        <v>206110</v>
      </c>
      <c r="C170" s="262" t="s">
        <v>591</v>
      </c>
      <c r="D170" s="262">
        <v>3</v>
      </c>
    </row>
    <row r="171" spans="1:4" x14ac:dyDescent="0.25">
      <c r="A171" s="31" t="s">
        <v>140</v>
      </c>
      <c r="B171" s="32">
        <v>4006</v>
      </c>
      <c r="C171" s="262">
        <v>0</v>
      </c>
      <c r="D171" s="262">
        <v>0</v>
      </c>
    </row>
    <row r="172" spans="1:4" x14ac:dyDescent="0.25">
      <c r="A172" s="31" t="s">
        <v>517</v>
      </c>
      <c r="B172" s="32" t="s">
        <v>516</v>
      </c>
      <c r="C172" s="262" t="s">
        <v>651</v>
      </c>
      <c r="D172" s="262">
        <v>4</v>
      </c>
    </row>
    <row r="173" spans="1:4" x14ac:dyDescent="0.25">
      <c r="A173" s="31" t="s">
        <v>510</v>
      </c>
      <c r="B173" s="32" t="s">
        <v>509</v>
      </c>
      <c r="C173" s="262" t="s">
        <v>591</v>
      </c>
      <c r="D173" s="262">
        <v>3</v>
      </c>
    </row>
    <row r="174" spans="1:4" x14ac:dyDescent="0.25">
      <c r="A174" s="31" t="s">
        <v>512</v>
      </c>
      <c r="B174" s="32" t="s">
        <v>511</v>
      </c>
      <c r="C174" s="262" t="s">
        <v>591</v>
      </c>
      <c r="D174" s="262">
        <v>3</v>
      </c>
    </row>
    <row r="175" spans="1:4" x14ac:dyDescent="0.25">
      <c r="A175" s="31" t="s">
        <v>514</v>
      </c>
      <c r="B175" s="32" t="s">
        <v>513</v>
      </c>
      <c r="C175" s="262" t="s">
        <v>651</v>
      </c>
      <c r="D175" s="262">
        <v>4</v>
      </c>
    </row>
    <row r="176" spans="1:4" x14ac:dyDescent="0.25">
      <c r="A176" s="31" t="s">
        <v>515</v>
      </c>
      <c r="B176" s="32">
        <v>509197</v>
      </c>
      <c r="C176" s="262" t="s">
        <v>591</v>
      </c>
      <c r="D176" s="262">
        <v>3</v>
      </c>
    </row>
    <row r="177" spans="1:4" x14ac:dyDescent="0.25">
      <c r="A177" s="31" t="s">
        <v>85</v>
      </c>
      <c r="B177" s="32">
        <v>4182</v>
      </c>
      <c r="C177" s="262" t="s">
        <v>606</v>
      </c>
      <c r="D177" s="262">
        <v>0</v>
      </c>
    </row>
    <row r="178" spans="1:4" x14ac:dyDescent="0.25">
      <c r="A178" s="31" t="s">
        <v>327</v>
      </c>
      <c r="B178" s="32">
        <v>1005</v>
      </c>
      <c r="C178" s="262" t="s">
        <v>592</v>
      </c>
      <c r="D178" s="262">
        <v>2</v>
      </c>
    </row>
    <row r="179" spans="1:4" x14ac:dyDescent="0.25">
      <c r="A179" s="31" t="s">
        <v>519</v>
      </c>
      <c r="B179" s="32" t="s">
        <v>518</v>
      </c>
      <c r="C179" s="262" t="s">
        <v>651</v>
      </c>
      <c r="D179" s="262">
        <v>4</v>
      </c>
    </row>
    <row r="180" spans="1:4" x14ac:dyDescent="0.25">
      <c r="A180" s="31" t="s">
        <v>69</v>
      </c>
      <c r="B180" s="32">
        <v>2436</v>
      </c>
      <c r="C180" s="262">
        <v>0</v>
      </c>
      <c r="D180" s="262">
        <v>0</v>
      </c>
    </row>
    <row r="181" spans="1:4" x14ac:dyDescent="0.25">
      <c r="A181" s="31" t="s">
        <v>520</v>
      </c>
      <c r="B181" s="32">
        <v>206117</v>
      </c>
      <c r="C181" s="262" t="s">
        <v>651</v>
      </c>
      <c r="D181" s="262">
        <v>4</v>
      </c>
    </row>
    <row r="182" spans="1:4" x14ac:dyDescent="0.25">
      <c r="A182" s="31" t="s">
        <v>74</v>
      </c>
      <c r="B182" s="32">
        <v>2452</v>
      </c>
      <c r="C182" s="262" t="s">
        <v>606</v>
      </c>
      <c r="D182" s="262">
        <v>1</v>
      </c>
    </row>
    <row r="183" spans="1:4" x14ac:dyDescent="0.25">
      <c r="A183" s="31" t="s">
        <v>521</v>
      </c>
      <c r="B183" s="32">
        <v>206141</v>
      </c>
      <c r="C183" s="262" t="s">
        <v>591</v>
      </c>
      <c r="D183" s="262">
        <v>3</v>
      </c>
    </row>
    <row r="184" spans="1:4" x14ac:dyDescent="0.25">
      <c r="A184" s="31" t="s">
        <v>82</v>
      </c>
      <c r="B184" s="32">
        <v>2627</v>
      </c>
      <c r="C184" s="262" t="s">
        <v>606</v>
      </c>
      <c r="D184" s="262">
        <v>0</v>
      </c>
    </row>
    <row r="185" spans="1:4" x14ac:dyDescent="0.25">
      <c r="A185" s="31" t="s">
        <v>86</v>
      </c>
      <c r="B185" s="32">
        <v>5406</v>
      </c>
      <c r="C185" s="262" t="s">
        <v>606</v>
      </c>
      <c r="D185" s="262">
        <v>0</v>
      </c>
    </row>
    <row r="186" spans="1:4" x14ac:dyDescent="0.25">
      <c r="A186" s="31" t="s">
        <v>139</v>
      </c>
      <c r="B186" s="32">
        <v>4005</v>
      </c>
      <c r="C186" s="262">
        <v>0</v>
      </c>
      <c r="D186" s="262">
        <v>0</v>
      </c>
    </row>
    <row r="187" spans="1:4" x14ac:dyDescent="0.25">
      <c r="A187" s="31" t="s">
        <v>152</v>
      </c>
      <c r="B187" s="32">
        <v>2028</v>
      </c>
      <c r="C187" s="262" t="s">
        <v>629</v>
      </c>
      <c r="D187" s="262">
        <v>1</v>
      </c>
    </row>
    <row r="188" spans="1:4" x14ac:dyDescent="0.25">
      <c r="A188" s="31" t="s">
        <v>523</v>
      </c>
      <c r="B188" s="32" t="s">
        <v>522</v>
      </c>
      <c r="C188" s="262" t="s">
        <v>651</v>
      </c>
      <c r="D188" s="262">
        <v>4</v>
      </c>
    </row>
    <row r="189" spans="1:4" x14ac:dyDescent="0.25">
      <c r="A189" s="31" t="s">
        <v>80</v>
      </c>
      <c r="B189" s="32">
        <v>2473</v>
      </c>
      <c r="C189" s="262" t="s">
        <v>606</v>
      </c>
      <c r="D189" s="262">
        <v>1</v>
      </c>
    </row>
    <row r="190" spans="1:4" x14ac:dyDescent="0.25">
      <c r="A190" s="31" t="s">
        <v>120</v>
      </c>
      <c r="B190" s="32">
        <v>2471</v>
      </c>
      <c r="C190" s="262">
        <v>0</v>
      </c>
      <c r="D190" s="262">
        <v>0</v>
      </c>
    </row>
    <row r="191" spans="1:4" x14ac:dyDescent="0.25">
      <c r="A191" s="31" t="s">
        <v>527</v>
      </c>
      <c r="B191" s="32">
        <v>258406</v>
      </c>
      <c r="C191" s="262" t="s">
        <v>651</v>
      </c>
      <c r="D191" s="262">
        <v>4</v>
      </c>
    </row>
    <row r="192" spans="1:4" x14ac:dyDescent="0.25">
      <c r="A192" s="31" t="s">
        <v>526</v>
      </c>
      <c r="B192" s="32">
        <v>258408</v>
      </c>
      <c r="C192" s="262" t="s">
        <v>651</v>
      </c>
      <c r="D192" s="262">
        <v>4</v>
      </c>
    </row>
    <row r="193" spans="1:4" x14ac:dyDescent="0.25">
      <c r="A193" s="31" t="s">
        <v>528</v>
      </c>
      <c r="B193" s="32">
        <v>2751454</v>
      </c>
      <c r="C193" s="262" t="s">
        <v>651</v>
      </c>
      <c r="D193" s="262">
        <v>4</v>
      </c>
    </row>
    <row r="194" spans="1:4" x14ac:dyDescent="0.25">
      <c r="A194" s="31" t="s">
        <v>63</v>
      </c>
      <c r="B194" s="32">
        <v>2003</v>
      </c>
      <c r="C194" s="262" t="s">
        <v>606</v>
      </c>
      <c r="D194" s="262">
        <v>1</v>
      </c>
    </row>
    <row r="195" spans="1:4" x14ac:dyDescent="0.25">
      <c r="A195" s="31" t="s">
        <v>100</v>
      </c>
      <c r="B195" s="32">
        <v>2017</v>
      </c>
      <c r="C195" s="262">
        <v>0</v>
      </c>
      <c r="D195" s="262">
        <v>0</v>
      </c>
    </row>
    <row r="196" spans="1:4" x14ac:dyDescent="0.25">
      <c r="A196" s="31" t="s">
        <v>67</v>
      </c>
      <c r="B196" s="32">
        <v>2424</v>
      </c>
      <c r="C196" s="262" t="s">
        <v>606</v>
      </c>
      <c r="D196" s="262">
        <v>0</v>
      </c>
    </row>
    <row r="197" spans="1:4" x14ac:dyDescent="0.25">
      <c r="A197" s="31" t="s">
        <v>530</v>
      </c>
      <c r="B197" s="32" t="s">
        <v>529</v>
      </c>
      <c r="C197" s="262" t="s">
        <v>651</v>
      </c>
      <c r="D197" s="262">
        <v>4</v>
      </c>
    </row>
    <row r="198" spans="1:4" x14ac:dyDescent="0.25">
      <c r="A198" s="31" t="s">
        <v>531</v>
      </c>
      <c r="B198" s="32">
        <v>206146</v>
      </c>
      <c r="C198" s="262" t="s">
        <v>651</v>
      </c>
      <c r="D198" s="262">
        <v>4</v>
      </c>
    </row>
    <row r="199" spans="1:4" x14ac:dyDescent="0.25">
      <c r="A199" s="31" t="s">
        <v>70</v>
      </c>
      <c r="B199" s="32">
        <v>2439</v>
      </c>
      <c r="C199" s="262">
        <v>0</v>
      </c>
      <c r="D199" s="262">
        <v>0</v>
      </c>
    </row>
    <row r="200" spans="1:4" x14ac:dyDescent="0.25">
      <c r="A200" s="31" t="s">
        <v>111</v>
      </c>
      <c r="B200" s="32">
        <v>2440</v>
      </c>
      <c r="C200" s="262">
        <v>0</v>
      </c>
      <c r="D200" s="262">
        <v>0</v>
      </c>
    </row>
    <row r="201" spans="1:4" x14ac:dyDescent="0.25">
      <c r="A201" s="31" t="s">
        <v>533</v>
      </c>
      <c r="B201" s="32" t="s">
        <v>532</v>
      </c>
      <c r="C201" s="262" t="s">
        <v>651</v>
      </c>
      <c r="D201" s="262">
        <v>4</v>
      </c>
    </row>
    <row r="202" spans="1:4" x14ac:dyDescent="0.25">
      <c r="A202" s="31" t="s">
        <v>78</v>
      </c>
      <c r="B202" s="32">
        <v>2462</v>
      </c>
      <c r="C202" s="262" t="s">
        <v>606</v>
      </c>
      <c r="D202" s="262">
        <v>1</v>
      </c>
    </row>
    <row r="203" spans="1:4" x14ac:dyDescent="0.25">
      <c r="A203" s="31" t="s">
        <v>116</v>
      </c>
      <c r="B203" s="32">
        <v>2463</v>
      </c>
      <c r="C203" s="262">
        <v>0</v>
      </c>
      <c r="D203" s="262">
        <v>0</v>
      </c>
    </row>
    <row r="204" spans="1:4" x14ac:dyDescent="0.25">
      <c r="A204" s="31" t="s">
        <v>81</v>
      </c>
      <c r="B204" s="32">
        <v>2505</v>
      </c>
      <c r="C204" s="262" t="s">
        <v>606</v>
      </c>
      <c r="D204" s="262">
        <v>1</v>
      </c>
    </row>
    <row r="205" spans="1:4" x14ac:dyDescent="0.25">
      <c r="A205" s="31" t="s">
        <v>103</v>
      </c>
      <c r="B205" s="32">
        <v>2020</v>
      </c>
      <c r="C205" s="262" t="s">
        <v>629</v>
      </c>
      <c r="D205" s="262">
        <v>1</v>
      </c>
    </row>
    <row r="206" spans="1:4" x14ac:dyDescent="0.25">
      <c r="A206" s="31" t="s">
        <v>76</v>
      </c>
      <c r="B206" s="32">
        <v>2458</v>
      </c>
      <c r="C206" s="262" t="s">
        <v>606</v>
      </c>
      <c r="D206" s="262">
        <v>0</v>
      </c>
    </row>
    <row r="207" spans="1:4" x14ac:dyDescent="0.25">
      <c r="A207" s="31" t="s">
        <v>62</v>
      </c>
      <c r="B207" s="32">
        <v>2001</v>
      </c>
      <c r="C207" s="262" t="s">
        <v>606</v>
      </c>
      <c r="D207" s="262">
        <v>1</v>
      </c>
    </row>
    <row r="208" spans="1:4" x14ac:dyDescent="0.25">
      <c r="A208" s="31" t="s">
        <v>580</v>
      </c>
      <c r="B208" s="32" t="s">
        <v>579</v>
      </c>
      <c r="C208" s="262" t="s">
        <v>591</v>
      </c>
      <c r="D208" s="262">
        <v>3</v>
      </c>
    </row>
    <row r="209" spans="1:4" x14ac:dyDescent="0.25">
      <c r="A209" s="31" t="s">
        <v>68</v>
      </c>
      <c r="B209" s="32">
        <v>2429</v>
      </c>
      <c r="C209" s="262" t="s">
        <v>606</v>
      </c>
      <c r="D209" s="262">
        <v>1</v>
      </c>
    </row>
    <row r="210" spans="1:4" x14ac:dyDescent="0.25">
      <c r="A210" s="31" t="s">
        <v>534</v>
      </c>
      <c r="B210" s="32">
        <v>2534321</v>
      </c>
      <c r="C210" s="262" t="s">
        <v>651</v>
      </c>
      <c r="D210" s="262">
        <v>4</v>
      </c>
    </row>
    <row r="211" spans="1:4" x14ac:dyDescent="0.25">
      <c r="A211" s="31" t="s">
        <v>147</v>
      </c>
      <c r="B211" s="32">
        <v>4607</v>
      </c>
      <c r="C211" s="262">
        <v>0</v>
      </c>
      <c r="D211" s="262">
        <v>0</v>
      </c>
    </row>
    <row r="212" spans="1:4" x14ac:dyDescent="0.25">
      <c r="A212" s="31" t="s">
        <v>536</v>
      </c>
      <c r="B212" s="32" t="s">
        <v>535</v>
      </c>
      <c r="C212" s="262" t="s">
        <v>651</v>
      </c>
      <c r="D212" s="262">
        <v>4</v>
      </c>
    </row>
    <row r="213" spans="1:4" x14ac:dyDescent="0.25">
      <c r="A213" s="31" t="s">
        <v>576</v>
      </c>
      <c r="B213" s="32" t="s">
        <v>575</v>
      </c>
      <c r="C213" s="262" t="s">
        <v>591</v>
      </c>
      <c r="D213" s="262">
        <v>3</v>
      </c>
    </row>
    <row r="214" spans="1:4" x14ac:dyDescent="0.25">
      <c r="A214" s="31" t="s">
        <v>72</v>
      </c>
      <c r="B214" s="32">
        <v>2444</v>
      </c>
      <c r="C214" s="262" t="s">
        <v>606</v>
      </c>
      <c r="D214" s="262">
        <v>1</v>
      </c>
    </row>
    <row r="215" spans="1:4" x14ac:dyDescent="0.25">
      <c r="A215" s="31" t="s">
        <v>84</v>
      </c>
      <c r="B215" s="32">
        <v>5209</v>
      </c>
      <c r="C215" s="262" t="s">
        <v>606</v>
      </c>
      <c r="D215" s="262">
        <v>0</v>
      </c>
    </row>
    <row r="216" spans="1:4" x14ac:dyDescent="0.25">
      <c r="A216" s="31" t="s">
        <v>538</v>
      </c>
      <c r="B216" s="32" t="s">
        <v>537</v>
      </c>
      <c r="C216" s="262" t="s">
        <v>591</v>
      </c>
      <c r="D216" s="262">
        <v>3</v>
      </c>
    </row>
    <row r="217" spans="1:4" x14ac:dyDescent="0.25">
      <c r="A217" s="31" t="s">
        <v>540</v>
      </c>
      <c r="B217" s="32" t="s">
        <v>539</v>
      </c>
      <c r="C217" s="262" t="s">
        <v>591</v>
      </c>
      <c r="D217" s="262">
        <v>3</v>
      </c>
    </row>
    <row r="218" spans="1:4" x14ac:dyDescent="0.25">
      <c r="A218" s="31" t="s">
        <v>542</v>
      </c>
      <c r="B218" s="32" t="s">
        <v>541</v>
      </c>
      <c r="C218" s="262" t="s">
        <v>651</v>
      </c>
      <c r="D218" s="262">
        <v>4</v>
      </c>
    </row>
    <row r="219" spans="1:4" x14ac:dyDescent="0.25">
      <c r="A219" s="31" t="s">
        <v>79</v>
      </c>
      <c r="B219" s="32">
        <v>2469</v>
      </c>
      <c r="C219" s="262" t="s">
        <v>606</v>
      </c>
      <c r="D219" s="262">
        <v>0</v>
      </c>
    </row>
    <row r="220" spans="1:4" x14ac:dyDescent="0.25">
      <c r="A220" s="31" t="s">
        <v>544</v>
      </c>
      <c r="B220" s="32" t="s">
        <v>543</v>
      </c>
      <c r="C220" s="262" t="s">
        <v>651</v>
      </c>
      <c r="D220" s="262">
        <v>4</v>
      </c>
    </row>
    <row r="221" spans="1:4" x14ac:dyDescent="0.25">
      <c r="A221" s="31" t="s">
        <v>546</v>
      </c>
      <c r="B221" s="32" t="s">
        <v>545</v>
      </c>
      <c r="C221" s="262" t="s">
        <v>591</v>
      </c>
      <c r="D221" s="262">
        <v>3</v>
      </c>
    </row>
    <row r="222" spans="1:4" x14ac:dyDescent="0.25">
      <c r="A222" s="31" t="s">
        <v>118</v>
      </c>
      <c r="B222" s="32">
        <v>2466</v>
      </c>
      <c r="C222" s="262">
        <v>0</v>
      </c>
      <c r="D222" s="262">
        <v>0</v>
      </c>
    </row>
    <row r="223" spans="1:4" x14ac:dyDescent="0.25">
      <c r="A223" s="31" t="s">
        <v>132</v>
      </c>
      <c r="B223" s="32">
        <v>3543</v>
      </c>
      <c r="C223" s="262" t="s">
        <v>629</v>
      </c>
      <c r="D223" s="262">
        <v>1</v>
      </c>
    </row>
    <row r="224" spans="1:4" x14ac:dyDescent="0.25">
      <c r="A224" s="31" t="s">
        <v>548</v>
      </c>
      <c r="B224" s="32" t="s">
        <v>547</v>
      </c>
      <c r="C224" s="262" t="s">
        <v>591</v>
      </c>
      <c r="D224" s="262">
        <v>3</v>
      </c>
    </row>
    <row r="225" spans="1:4" x14ac:dyDescent="0.25">
      <c r="A225" s="24" t="s">
        <v>762</v>
      </c>
      <c r="B225" s="287">
        <v>7027</v>
      </c>
      <c r="C225" s="291">
        <v>0</v>
      </c>
      <c r="D225" s="262">
        <v>0</v>
      </c>
    </row>
    <row r="226" spans="1:4" x14ac:dyDescent="0.25">
      <c r="A226" s="24" t="s">
        <v>266</v>
      </c>
      <c r="B226" s="287">
        <v>7025</v>
      </c>
      <c r="C226" s="291">
        <v>0</v>
      </c>
      <c r="D226" s="262">
        <v>0</v>
      </c>
    </row>
    <row r="227" spans="1:4" x14ac:dyDescent="0.25">
      <c r="A227" s="31" t="s">
        <v>550</v>
      </c>
      <c r="B227" s="32" t="s">
        <v>549</v>
      </c>
      <c r="C227" s="262" t="s">
        <v>591</v>
      </c>
      <c r="D227" s="262">
        <v>3</v>
      </c>
    </row>
    <row r="228" spans="1:4" x14ac:dyDescent="0.25">
      <c r="A228" s="31" t="s">
        <v>128</v>
      </c>
      <c r="B228" s="32">
        <v>3531</v>
      </c>
      <c r="C228" s="262">
        <v>0</v>
      </c>
      <c r="D228" s="262">
        <v>0</v>
      </c>
    </row>
    <row r="229" spans="1:4" x14ac:dyDescent="0.25">
      <c r="A229" s="24" t="s">
        <v>763</v>
      </c>
      <c r="B229" s="287">
        <v>7024</v>
      </c>
      <c r="C229" s="291">
        <v>0</v>
      </c>
      <c r="D229" s="262">
        <v>0</v>
      </c>
    </row>
    <row r="230" spans="1:4" x14ac:dyDescent="0.25">
      <c r="A230" s="31" t="s">
        <v>83</v>
      </c>
      <c r="B230" s="32">
        <v>3526</v>
      </c>
      <c r="C230" s="262" t="s">
        <v>606</v>
      </c>
      <c r="D230" s="262">
        <v>1</v>
      </c>
    </row>
    <row r="231" spans="1:4" x14ac:dyDescent="0.25">
      <c r="A231" s="31" t="s">
        <v>130</v>
      </c>
      <c r="B231" s="32">
        <v>3535</v>
      </c>
      <c r="C231" s="262">
        <v>0</v>
      </c>
      <c r="D231" s="262">
        <v>0</v>
      </c>
    </row>
    <row r="232" spans="1:4" x14ac:dyDescent="0.25">
      <c r="A232" s="31" t="s">
        <v>92</v>
      </c>
      <c r="B232" s="32">
        <v>2008</v>
      </c>
      <c r="C232" s="262">
        <v>0</v>
      </c>
      <c r="D232" s="262">
        <v>0</v>
      </c>
    </row>
    <row r="233" spans="1:4" x14ac:dyDescent="0.25">
      <c r="A233" s="31" t="s">
        <v>131</v>
      </c>
      <c r="B233" s="32">
        <v>3542</v>
      </c>
      <c r="C233" s="262">
        <v>0</v>
      </c>
      <c r="D233" s="262">
        <v>0</v>
      </c>
    </row>
    <row r="234" spans="1:4" x14ac:dyDescent="0.25">
      <c r="A234" s="31" t="s">
        <v>551</v>
      </c>
      <c r="B234" s="32">
        <v>206154</v>
      </c>
      <c r="C234" s="262" t="s">
        <v>591</v>
      </c>
      <c r="D234" s="262">
        <v>3</v>
      </c>
    </row>
    <row r="235" spans="1:4" x14ac:dyDescent="0.25">
      <c r="A235" s="24" t="s">
        <v>764</v>
      </c>
      <c r="B235" s="287">
        <v>7021</v>
      </c>
      <c r="C235" s="291">
        <v>0</v>
      </c>
      <c r="D235" s="262">
        <v>0</v>
      </c>
    </row>
    <row r="236" spans="1:4" x14ac:dyDescent="0.25">
      <c r="A236" s="31" t="s">
        <v>126</v>
      </c>
      <c r="B236" s="32">
        <v>3528</v>
      </c>
      <c r="C236" s="262" t="s">
        <v>629</v>
      </c>
      <c r="D236" s="262">
        <v>1</v>
      </c>
    </row>
    <row r="237" spans="1:4" x14ac:dyDescent="0.25">
      <c r="A237" s="31" t="s">
        <v>108</v>
      </c>
      <c r="B237" s="32">
        <v>2025</v>
      </c>
      <c r="C237" s="262">
        <v>0</v>
      </c>
      <c r="D237" s="262">
        <v>0</v>
      </c>
    </row>
    <row r="238" spans="1:4" x14ac:dyDescent="0.25">
      <c r="A238" s="31" t="s">
        <v>129</v>
      </c>
      <c r="B238" s="32">
        <v>3532</v>
      </c>
      <c r="C238" s="262">
        <v>0</v>
      </c>
      <c r="D238" s="262">
        <v>0</v>
      </c>
    </row>
    <row r="239" spans="1:4" x14ac:dyDescent="0.25">
      <c r="A239" s="31" t="s">
        <v>328</v>
      </c>
      <c r="B239" s="32">
        <v>1010</v>
      </c>
      <c r="C239" s="262" t="s">
        <v>592</v>
      </c>
      <c r="D239" s="262">
        <v>2</v>
      </c>
    </row>
    <row r="240" spans="1:4" x14ac:dyDescent="0.25">
      <c r="A240" s="31" t="s">
        <v>553</v>
      </c>
      <c r="B240" s="32" t="s">
        <v>552</v>
      </c>
      <c r="C240" s="262" t="s">
        <v>591</v>
      </c>
      <c r="D240" s="262">
        <v>3</v>
      </c>
    </row>
    <row r="241" spans="1:4" x14ac:dyDescent="0.25">
      <c r="A241" s="31" t="s">
        <v>554</v>
      </c>
      <c r="B241" s="32">
        <v>2751455</v>
      </c>
      <c r="C241" s="262" t="s">
        <v>651</v>
      </c>
      <c r="D241" s="262">
        <v>4</v>
      </c>
    </row>
    <row r="242" spans="1:4" x14ac:dyDescent="0.25">
      <c r="A242" s="31" t="s">
        <v>87</v>
      </c>
      <c r="B242" s="32">
        <v>4177</v>
      </c>
      <c r="C242" s="262" t="s">
        <v>606</v>
      </c>
      <c r="D242" s="262">
        <v>1</v>
      </c>
    </row>
    <row r="243" spans="1:4" x14ac:dyDescent="0.25">
      <c r="A243" s="31" t="s">
        <v>556</v>
      </c>
      <c r="B243" s="32" t="s">
        <v>555</v>
      </c>
      <c r="C243" s="262" t="s">
        <v>591</v>
      </c>
      <c r="D243" s="262">
        <v>3</v>
      </c>
    </row>
    <row r="244" spans="1:4" x14ac:dyDescent="0.25">
      <c r="A244" s="31" t="s">
        <v>557</v>
      </c>
      <c r="B244" s="32">
        <v>206103</v>
      </c>
      <c r="C244" s="262" t="s">
        <v>651</v>
      </c>
      <c r="D244" s="262">
        <v>4</v>
      </c>
    </row>
    <row r="245" spans="1:4" x14ac:dyDescent="0.25">
      <c r="A245" s="31" t="s">
        <v>558</v>
      </c>
      <c r="B245" s="32">
        <v>2614882</v>
      </c>
      <c r="C245" s="262" t="s">
        <v>651</v>
      </c>
      <c r="D245" s="262">
        <v>4</v>
      </c>
    </row>
    <row r="246" spans="1:4" x14ac:dyDescent="0.25">
      <c r="A246" s="31" t="s">
        <v>560</v>
      </c>
      <c r="B246" s="32" t="s">
        <v>559</v>
      </c>
      <c r="C246" s="262" t="s">
        <v>651</v>
      </c>
      <c r="D246" s="262">
        <v>4</v>
      </c>
    </row>
    <row r="247" spans="1:4" x14ac:dyDescent="0.25">
      <c r="A247" s="31" t="s">
        <v>525</v>
      </c>
      <c r="B247" s="32" t="s">
        <v>524</v>
      </c>
      <c r="C247" s="262" t="s">
        <v>591</v>
      </c>
      <c r="D247" s="262">
        <v>3</v>
      </c>
    </row>
    <row r="248" spans="1:4" x14ac:dyDescent="0.25">
      <c r="A248" s="31" t="s">
        <v>562</v>
      </c>
      <c r="B248" s="32" t="s">
        <v>561</v>
      </c>
      <c r="C248" s="262" t="s">
        <v>651</v>
      </c>
      <c r="D248" s="262">
        <v>4</v>
      </c>
    </row>
    <row r="249" spans="1:4" x14ac:dyDescent="0.25">
      <c r="A249" s="31" t="s">
        <v>563</v>
      </c>
      <c r="B249" s="32">
        <v>2498864</v>
      </c>
      <c r="C249" s="262" t="s">
        <v>651</v>
      </c>
      <c r="D249" s="262">
        <v>4</v>
      </c>
    </row>
    <row r="250" spans="1:4" x14ac:dyDescent="0.25">
      <c r="A250" s="31" t="s">
        <v>565</v>
      </c>
      <c r="B250" s="32" t="s">
        <v>564</v>
      </c>
      <c r="C250" s="262" t="s">
        <v>591</v>
      </c>
      <c r="D250" s="262">
        <v>3</v>
      </c>
    </row>
    <row r="251" spans="1:4" x14ac:dyDescent="0.25">
      <c r="A251" s="31" t="s">
        <v>566</v>
      </c>
      <c r="B251" s="32">
        <v>258424</v>
      </c>
      <c r="C251" s="262" t="s">
        <v>651</v>
      </c>
      <c r="D251" s="262">
        <v>4</v>
      </c>
    </row>
    <row r="252" spans="1:4" x14ac:dyDescent="0.25">
      <c r="A252" s="31" t="s">
        <v>143</v>
      </c>
      <c r="B252" s="32">
        <v>4010</v>
      </c>
      <c r="C252" s="262">
        <v>0</v>
      </c>
      <c r="D252" s="262">
        <v>0</v>
      </c>
    </row>
    <row r="253" spans="1:4" x14ac:dyDescent="0.25">
      <c r="A253" s="31" t="s">
        <v>134</v>
      </c>
      <c r="B253" s="32">
        <v>3546</v>
      </c>
      <c r="C253" s="262" t="s">
        <v>629</v>
      </c>
      <c r="D253" s="262">
        <v>1</v>
      </c>
    </row>
    <row r="254" spans="1:4" x14ac:dyDescent="0.25">
      <c r="A254" s="31" t="s">
        <v>329</v>
      </c>
      <c r="B254" s="32">
        <v>1009</v>
      </c>
      <c r="C254" s="262" t="s">
        <v>592</v>
      </c>
      <c r="D254" s="262">
        <v>2</v>
      </c>
    </row>
    <row r="255" spans="1:4" x14ac:dyDescent="0.25">
      <c r="A255" s="31" t="s">
        <v>127</v>
      </c>
      <c r="B255" s="32">
        <v>3530</v>
      </c>
      <c r="C255" s="262" t="s">
        <v>629</v>
      </c>
      <c r="D255" s="262">
        <v>1</v>
      </c>
    </row>
    <row r="256" spans="1:4" x14ac:dyDescent="0.25">
      <c r="A256" s="31" t="s">
        <v>148</v>
      </c>
      <c r="B256" s="32">
        <v>5412</v>
      </c>
      <c r="C256" s="262">
        <v>0</v>
      </c>
      <c r="D256" s="262">
        <v>0</v>
      </c>
    </row>
    <row r="257" spans="1:4" x14ac:dyDescent="0.25">
      <c r="A257" s="31" t="s">
        <v>568</v>
      </c>
      <c r="B257" s="32" t="s">
        <v>567</v>
      </c>
      <c r="C257" s="8" t="s">
        <v>651</v>
      </c>
      <c r="D257" s="289">
        <v>4</v>
      </c>
    </row>
    <row r="258" spans="1:4" x14ac:dyDescent="0.25">
      <c r="A258" s="31" t="s">
        <v>570</v>
      </c>
      <c r="B258" s="32" t="s">
        <v>569</v>
      </c>
      <c r="C258" s="8" t="s">
        <v>591</v>
      </c>
      <c r="D258" s="289">
        <v>3</v>
      </c>
    </row>
    <row r="259" spans="1:4" x14ac:dyDescent="0.25">
      <c r="A259" s="31" t="s">
        <v>330</v>
      </c>
      <c r="B259" s="32">
        <v>1015</v>
      </c>
      <c r="C259" s="8" t="s">
        <v>592</v>
      </c>
      <c r="D259" s="289">
        <v>2</v>
      </c>
    </row>
    <row r="260" spans="1:4" x14ac:dyDescent="0.25">
      <c r="A260" s="31" t="s">
        <v>572</v>
      </c>
      <c r="B260" s="32" t="s">
        <v>571</v>
      </c>
      <c r="C260" s="8" t="s">
        <v>651</v>
      </c>
      <c r="D260" s="289">
        <v>4</v>
      </c>
    </row>
    <row r="261" spans="1:4" x14ac:dyDescent="0.25">
      <c r="A261" s="31" t="s">
        <v>573</v>
      </c>
      <c r="B261" s="32">
        <v>2568273</v>
      </c>
      <c r="C261" s="8" t="s">
        <v>651</v>
      </c>
      <c r="D261" s="289">
        <v>4</v>
      </c>
    </row>
    <row r="262" spans="1:4" x14ac:dyDescent="0.25">
      <c r="A262" s="31" t="s">
        <v>574</v>
      </c>
      <c r="B262" s="32">
        <v>509204</v>
      </c>
      <c r="C262" s="8" t="s">
        <v>651</v>
      </c>
      <c r="D262" s="289">
        <v>4</v>
      </c>
    </row>
    <row r="263" spans="1:4" x14ac:dyDescent="0.25">
      <c r="A263" s="31" t="s">
        <v>77</v>
      </c>
      <c r="B263" s="32">
        <v>2459</v>
      </c>
      <c r="C263" s="8" t="s">
        <v>606</v>
      </c>
      <c r="D263" s="289">
        <v>0</v>
      </c>
    </row>
    <row r="264" spans="1:4" x14ac:dyDescent="0.25">
      <c r="A264" s="31" t="s">
        <v>91</v>
      </c>
      <c r="B264" s="32">
        <v>2007</v>
      </c>
      <c r="C264" s="8" t="s">
        <v>629</v>
      </c>
      <c r="D264" s="289">
        <v>1</v>
      </c>
    </row>
    <row r="265" spans="1:4" x14ac:dyDescent="0.25">
      <c r="A265" s="31" t="s">
        <v>135</v>
      </c>
      <c r="B265" s="32">
        <v>4000</v>
      </c>
      <c r="C265" s="8" t="s">
        <v>629</v>
      </c>
      <c r="D265" s="289">
        <v>1</v>
      </c>
    </row>
  </sheetData>
  <sheetProtection algorithmName="SHA-512" hashValue="FZFKfJXmr3KsCf0Jm3/lo1C9nWnNaUxgk1aowMDoZFv+pzV+3oNqXBxN6kyqqCceq4C+aVDpCpQ7jVdJgQ+Bjw==" saltValue="nhjdnmjg6kLDq4ihjZN3DA==" spinCount="100000" sheet="1" objects="1" scenarios="1" autoFilter="0"/>
  <autoFilter ref="A6:D265" xr:uid="{C369A296-2817-486A-B6F9-9ECCAAB2AEB0}"/>
  <sortState xmlns:xlrd2="http://schemas.microsoft.com/office/spreadsheetml/2017/richdata2" ref="A7:D265">
    <sortCondition ref="A7:A265"/>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530A-5013-498B-8275-ACCD06914533}">
  <sheetPr codeName="Sheet20">
    <tabColor theme="9" tint="0.39997558519241921"/>
  </sheetPr>
  <dimension ref="A5:AB105"/>
  <sheetViews>
    <sheetView topLeftCell="A7" workbookViewId="0">
      <selection activeCell="C1" sqref="C1"/>
    </sheetView>
  </sheetViews>
  <sheetFormatPr defaultRowHeight="12.5" x14ac:dyDescent="0.25"/>
  <cols>
    <col min="1" max="1" width="13.54296875" customWidth="1"/>
    <col min="2" max="2" width="34.453125" bestFit="1" customWidth="1"/>
    <col min="3" max="3" width="12.81640625" customWidth="1"/>
    <col min="4" max="4" width="13.26953125" customWidth="1"/>
    <col min="5" max="5" width="12.7265625" customWidth="1"/>
    <col min="6" max="6" width="13.54296875" customWidth="1"/>
  </cols>
  <sheetData>
    <row r="5" spans="1:28" x14ac:dyDescent="0.25">
      <c r="B5" s="596" t="s">
        <v>1350</v>
      </c>
    </row>
    <row r="6" spans="1:28" ht="52" x14ac:dyDescent="0.25">
      <c r="A6" s="593" t="s">
        <v>1210</v>
      </c>
      <c r="B6" s="593" t="s">
        <v>270</v>
      </c>
      <c r="C6" s="593" t="s">
        <v>1207</v>
      </c>
      <c r="D6" s="593" t="s">
        <v>1208</v>
      </c>
      <c r="E6" s="593" t="s">
        <v>1209</v>
      </c>
      <c r="F6" s="593" t="s">
        <v>1210</v>
      </c>
      <c r="G6" s="593" t="s">
        <v>1211</v>
      </c>
      <c r="H6" s="593" t="s">
        <v>1212</v>
      </c>
      <c r="I6" s="593" t="s">
        <v>1213</v>
      </c>
      <c r="J6" s="593" t="s">
        <v>1214</v>
      </c>
      <c r="K6" s="593" t="s">
        <v>1215</v>
      </c>
      <c r="L6" s="593" t="s">
        <v>1216</v>
      </c>
      <c r="M6" s="593" t="s">
        <v>1217</v>
      </c>
      <c r="N6" s="593" t="s">
        <v>1218</v>
      </c>
      <c r="O6" s="593" t="s">
        <v>1219</v>
      </c>
      <c r="P6" s="593" t="s">
        <v>1220</v>
      </c>
      <c r="Q6" s="593" t="s">
        <v>1221</v>
      </c>
      <c r="R6" s="593" t="s">
        <v>1222</v>
      </c>
      <c r="S6" s="593" t="s">
        <v>1223</v>
      </c>
      <c r="T6" s="593" t="s">
        <v>1224</v>
      </c>
      <c r="U6" s="593" t="s">
        <v>1225</v>
      </c>
      <c r="V6" s="593" t="s">
        <v>1226</v>
      </c>
      <c r="W6" s="593" t="s">
        <v>1227</v>
      </c>
      <c r="X6" s="593" t="s">
        <v>1228</v>
      </c>
      <c r="Y6" s="593" t="s">
        <v>1229</v>
      </c>
      <c r="Z6" s="593" t="s">
        <v>1230</v>
      </c>
      <c r="AA6" s="593" t="s">
        <v>1231</v>
      </c>
      <c r="AB6" s="593" t="s">
        <v>1232</v>
      </c>
    </row>
    <row r="7" spans="1:28" ht="13" x14ac:dyDescent="0.25">
      <c r="A7" s="25" t="str">
        <f>F7</f>
        <v>CLICK ON THE ARROW BUTTON TO SELECT YOUR SCHOOL FROM THE LIST</v>
      </c>
      <c r="B7" s="26">
        <v>12345</v>
      </c>
      <c r="C7" s="593"/>
      <c r="D7" s="593"/>
      <c r="E7" s="593"/>
      <c r="F7" s="25" t="s">
        <v>760</v>
      </c>
      <c r="G7" s="593"/>
      <c r="H7" s="593"/>
      <c r="I7" s="593"/>
      <c r="J7" s="593"/>
      <c r="K7" s="593"/>
      <c r="L7" s="593"/>
      <c r="M7" s="593"/>
      <c r="N7" s="593"/>
      <c r="O7" s="593"/>
      <c r="P7" s="593"/>
      <c r="Q7" s="593"/>
      <c r="R7" s="593"/>
      <c r="S7" s="593"/>
      <c r="T7" s="593"/>
      <c r="U7" s="593"/>
      <c r="V7" s="593"/>
      <c r="W7" s="593"/>
      <c r="X7" s="593"/>
      <c r="Y7" s="593"/>
      <c r="Z7" s="593"/>
      <c r="AA7" s="593"/>
      <c r="AB7" s="593"/>
    </row>
    <row r="8" spans="1:28" ht="14.5" x14ac:dyDescent="0.35">
      <c r="A8" s="25" t="str">
        <f t="shared" ref="A8:A65" si="0">F8</f>
        <v>All Providers</v>
      </c>
      <c r="B8" s="543" t="s">
        <v>1203</v>
      </c>
      <c r="C8" s="593"/>
      <c r="D8" s="593"/>
      <c r="E8" s="593"/>
      <c r="F8" s="593" t="s">
        <v>754</v>
      </c>
      <c r="G8" s="593"/>
      <c r="H8" s="593"/>
      <c r="I8" s="593"/>
      <c r="J8" s="593"/>
      <c r="K8" s="593"/>
      <c r="L8" s="593"/>
      <c r="M8" s="593"/>
      <c r="N8" s="593"/>
      <c r="O8" s="593"/>
      <c r="P8" s="593"/>
      <c r="Q8" s="593"/>
      <c r="R8" s="593"/>
      <c r="S8" s="593"/>
      <c r="T8" s="593"/>
      <c r="U8" s="593"/>
      <c r="V8" s="593"/>
      <c r="W8" s="593"/>
      <c r="X8" s="593"/>
      <c r="Y8" s="593"/>
      <c r="Z8" s="593"/>
      <c r="AA8" s="593"/>
      <c r="AB8" s="593"/>
    </row>
    <row r="9" spans="1:28" x14ac:dyDescent="0.25">
      <c r="A9" s="25" t="str">
        <f t="shared" si="0"/>
        <v>Akaal Primary School</v>
      </c>
      <c r="B9" s="594">
        <v>150481</v>
      </c>
      <c r="C9" s="595" t="s">
        <v>1233</v>
      </c>
      <c r="D9" s="595" t="s">
        <v>1234</v>
      </c>
      <c r="E9" s="594">
        <v>2029</v>
      </c>
      <c r="F9" s="595" t="s">
        <v>98</v>
      </c>
      <c r="G9" s="595" t="s">
        <v>1291</v>
      </c>
      <c r="H9" s="595" t="s">
        <v>1237</v>
      </c>
      <c r="I9" s="595" t="s">
        <v>1347</v>
      </c>
      <c r="J9" s="595" t="s">
        <v>151</v>
      </c>
      <c r="K9" s="595" t="s">
        <v>267</v>
      </c>
      <c r="L9" s="594">
        <v>4</v>
      </c>
      <c r="M9" s="594">
        <v>11</v>
      </c>
      <c r="N9" s="595" t="s">
        <v>1239</v>
      </c>
      <c r="O9" s="595" t="s">
        <v>1258</v>
      </c>
      <c r="P9" s="595" t="s">
        <v>1257</v>
      </c>
      <c r="Q9" s="595" t="s">
        <v>1242</v>
      </c>
      <c r="R9" s="595" t="s">
        <v>1348</v>
      </c>
      <c r="S9" s="595" t="s">
        <v>1265</v>
      </c>
      <c r="T9" s="595" t="s">
        <v>151</v>
      </c>
      <c r="U9" s="595" t="s">
        <v>151</v>
      </c>
      <c r="V9" s="595" t="s">
        <v>1274</v>
      </c>
      <c r="W9" s="595" t="s">
        <v>1349</v>
      </c>
      <c r="X9" s="595" t="s">
        <v>1282</v>
      </c>
      <c r="Y9" s="595" t="s">
        <v>151</v>
      </c>
      <c r="Z9" s="595" t="s">
        <v>1241</v>
      </c>
      <c r="AA9" s="595" t="s">
        <v>151</v>
      </c>
      <c r="AB9" s="594">
        <v>10094334</v>
      </c>
    </row>
    <row r="10" spans="1:28" x14ac:dyDescent="0.25">
      <c r="A10" s="25" t="str">
        <f t="shared" si="0"/>
        <v>Allenton Primary School</v>
      </c>
      <c r="B10" s="594">
        <v>141324</v>
      </c>
      <c r="C10" s="595" t="s">
        <v>1233</v>
      </c>
      <c r="D10" s="595" t="s">
        <v>1234</v>
      </c>
      <c r="E10" s="594">
        <v>2012</v>
      </c>
      <c r="F10" s="595" t="s">
        <v>96</v>
      </c>
      <c r="G10" s="595" t="s">
        <v>1272</v>
      </c>
      <c r="H10" s="595" t="s">
        <v>1237</v>
      </c>
      <c r="I10" s="595" t="s">
        <v>1301</v>
      </c>
      <c r="J10" s="595" t="s">
        <v>151</v>
      </c>
      <c r="K10" s="595" t="s">
        <v>267</v>
      </c>
      <c r="L10" s="594">
        <v>5</v>
      </c>
      <c r="M10" s="594">
        <v>11</v>
      </c>
      <c r="N10" s="595" t="s">
        <v>1239</v>
      </c>
      <c r="O10" s="595" t="s">
        <v>1258</v>
      </c>
      <c r="P10" s="595" t="s">
        <v>1257</v>
      </c>
      <c r="Q10" s="595" t="s">
        <v>1242</v>
      </c>
      <c r="R10" s="595" t="s">
        <v>1243</v>
      </c>
      <c r="S10" s="595" t="s">
        <v>1265</v>
      </c>
      <c r="T10" s="595" t="s">
        <v>1241</v>
      </c>
      <c r="U10" s="595" t="s">
        <v>1241</v>
      </c>
      <c r="V10" s="595" t="s">
        <v>1274</v>
      </c>
      <c r="W10" s="595" t="s">
        <v>1293</v>
      </c>
      <c r="X10" s="595" t="s">
        <v>1276</v>
      </c>
      <c r="Y10" s="595" t="s">
        <v>1294</v>
      </c>
      <c r="Z10" s="595" t="s">
        <v>1241</v>
      </c>
      <c r="AA10" s="595" t="s">
        <v>151</v>
      </c>
      <c r="AB10" s="594">
        <v>10047443</v>
      </c>
    </row>
    <row r="11" spans="1:28" x14ac:dyDescent="0.25">
      <c r="A11" s="25" t="str">
        <f t="shared" si="0"/>
        <v>Allestree Woodlands School</v>
      </c>
      <c r="B11" s="594">
        <v>137911</v>
      </c>
      <c r="C11" s="595" t="s">
        <v>1233</v>
      </c>
      <c r="D11" s="595" t="s">
        <v>1234</v>
      </c>
      <c r="E11" s="594">
        <v>5414</v>
      </c>
      <c r="F11" s="595" t="s">
        <v>149</v>
      </c>
      <c r="G11" s="595" t="s">
        <v>1278</v>
      </c>
      <c r="H11" s="595" t="s">
        <v>1237</v>
      </c>
      <c r="I11" s="595" t="s">
        <v>1283</v>
      </c>
      <c r="J11" s="595" t="s">
        <v>151</v>
      </c>
      <c r="K11" s="595" t="s">
        <v>199</v>
      </c>
      <c r="L11" s="594">
        <v>11</v>
      </c>
      <c r="M11" s="594">
        <v>18</v>
      </c>
      <c r="N11" s="595" t="s">
        <v>1239</v>
      </c>
      <c r="O11" s="595" t="s">
        <v>1241</v>
      </c>
      <c r="P11" s="595" t="s">
        <v>1264</v>
      </c>
      <c r="Q11" s="595" t="s">
        <v>1242</v>
      </c>
      <c r="R11" s="595" t="s">
        <v>1265</v>
      </c>
      <c r="S11" s="595" t="s">
        <v>1243</v>
      </c>
      <c r="T11" s="595" t="s">
        <v>1241</v>
      </c>
      <c r="U11" s="595" t="s">
        <v>1266</v>
      </c>
      <c r="V11" s="595" t="s">
        <v>1280</v>
      </c>
      <c r="W11" s="595" t="s">
        <v>1206</v>
      </c>
      <c r="X11" s="595" t="s">
        <v>1282</v>
      </c>
      <c r="Y11" s="595" t="s">
        <v>151</v>
      </c>
      <c r="Z11" s="595" t="s">
        <v>1241</v>
      </c>
      <c r="AA11" s="595" t="s">
        <v>151</v>
      </c>
      <c r="AB11" s="594">
        <v>10036749</v>
      </c>
    </row>
    <row r="12" spans="1:28" x14ac:dyDescent="0.25">
      <c r="A12" s="25" t="str">
        <f t="shared" si="0"/>
        <v>Alvaston Infant and Nursery School</v>
      </c>
      <c r="B12" s="594">
        <v>112744</v>
      </c>
      <c r="C12" s="595" t="s">
        <v>1233</v>
      </c>
      <c r="D12" s="595" t="s">
        <v>1234</v>
      </c>
      <c r="E12" s="594">
        <v>2443</v>
      </c>
      <c r="F12" s="595" t="s">
        <v>71</v>
      </c>
      <c r="G12" s="595" t="s">
        <v>1256</v>
      </c>
      <c r="H12" s="595" t="s">
        <v>1237</v>
      </c>
      <c r="I12" s="595" t="s">
        <v>151</v>
      </c>
      <c r="J12" s="595" t="s">
        <v>151</v>
      </c>
      <c r="K12" s="595" t="s">
        <v>267</v>
      </c>
      <c r="L12" s="594">
        <v>3</v>
      </c>
      <c r="M12" s="594">
        <v>7</v>
      </c>
      <c r="N12" s="595" t="s">
        <v>1239</v>
      </c>
      <c r="O12" s="595" t="s">
        <v>1240</v>
      </c>
      <c r="P12" s="595" t="s">
        <v>1257</v>
      </c>
      <c r="Q12" s="595" t="s">
        <v>1242</v>
      </c>
      <c r="R12" s="595" t="s">
        <v>1243</v>
      </c>
      <c r="S12" s="595" t="s">
        <v>1243</v>
      </c>
      <c r="T12" s="595" t="s">
        <v>1241</v>
      </c>
      <c r="U12" s="595" t="s">
        <v>1241</v>
      </c>
      <c r="V12" s="595" t="s">
        <v>1241</v>
      </c>
      <c r="W12" s="595" t="s">
        <v>151</v>
      </c>
      <c r="X12" s="595" t="s">
        <v>1241</v>
      </c>
      <c r="Y12" s="595" t="s">
        <v>151</v>
      </c>
      <c r="Z12" s="595" t="s">
        <v>1244</v>
      </c>
      <c r="AA12" s="595" t="s">
        <v>151</v>
      </c>
      <c r="AB12" s="594">
        <v>10076479</v>
      </c>
    </row>
    <row r="13" spans="1:28" x14ac:dyDescent="0.25">
      <c r="A13" s="25" t="str">
        <f t="shared" si="0"/>
        <v>Alvaston Junior Academy</v>
      </c>
      <c r="B13" s="594">
        <v>145759</v>
      </c>
      <c r="C13" s="595" t="s">
        <v>1233</v>
      </c>
      <c r="D13" s="595" t="s">
        <v>1234</v>
      </c>
      <c r="E13" s="594">
        <v>2442</v>
      </c>
      <c r="F13" s="595" t="s">
        <v>112</v>
      </c>
      <c r="G13" s="595" t="s">
        <v>1278</v>
      </c>
      <c r="H13" s="595" t="s">
        <v>1237</v>
      </c>
      <c r="I13" s="595" t="s">
        <v>1322</v>
      </c>
      <c r="J13" s="595" t="s">
        <v>151</v>
      </c>
      <c r="K13" s="595" t="s">
        <v>267</v>
      </c>
      <c r="L13" s="594">
        <v>7</v>
      </c>
      <c r="M13" s="594">
        <v>11</v>
      </c>
      <c r="N13" s="595" t="s">
        <v>1239</v>
      </c>
      <c r="O13" s="595" t="s">
        <v>1258</v>
      </c>
      <c r="P13" s="595" t="s">
        <v>1257</v>
      </c>
      <c r="Q13" s="595" t="s">
        <v>1242</v>
      </c>
      <c r="R13" s="595" t="s">
        <v>1243</v>
      </c>
      <c r="S13" s="595" t="s">
        <v>1243</v>
      </c>
      <c r="T13" s="595" t="s">
        <v>1241</v>
      </c>
      <c r="U13" s="595" t="s">
        <v>1241</v>
      </c>
      <c r="V13" s="595" t="s">
        <v>1274</v>
      </c>
      <c r="W13" s="595" t="s">
        <v>1316</v>
      </c>
      <c r="X13" s="595" t="s">
        <v>1276</v>
      </c>
      <c r="Y13" s="595" t="s">
        <v>1317</v>
      </c>
      <c r="Z13" s="595" t="s">
        <v>1241</v>
      </c>
      <c r="AA13" s="595" t="s">
        <v>151</v>
      </c>
      <c r="AB13" s="594">
        <v>10068490</v>
      </c>
    </row>
    <row r="14" spans="1:28" x14ac:dyDescent="0.25">
      <c r="A14" s="25" t="str">
        <f t="shared" si="0"/>
        <v>Alvaston Moor Academy</v>
      </c>
      <c r="B14" s="594">
        <v>148538</v>
      </c>
      <c r="C14" s="595" t="s">
        <v>1233</v>
      </c>
      <c r="D14" s="595" t="s">
        <v>1234</v>
      </c>
      <c r="E14" s="594">
        <v>4011</v>
      </c>
      <c r="F14" s="595" t="s">
        <v>144</v>
      </c>
      <c r="G14" s="595" t="s">
        <v>1272</v>
      </c>
      <c r="H14" s="595" t="s">
        <v>1237</v>
      </c>
      <c r="I14" s="595" t="s">
        <v>1343</v>
      </c>
      <c r="J14" s="595" t="s">
        <v>151</v>
      </c>
      <c r="K14" s="595" t="s">
        <v>199</v>
      </c>
      <c r="L14" s="594">
        <v>11</v>
      </c>
      <c r="M14" s="594">
        <v>19</v>
      </c>
      <c r="N14" s="595" t="s">
        <v>1239</v>
      </c>
      <c r="O14" s="595" t="s">
        <v>1258</v>
      </c>
      <c r="P14" s="595" t="s">
        <v>1264</v>
      </c>
      <c r="Q14" s="595" t="s">
        <v>1242</v>
      </c>
      <c r="R14" s="595" t="s">
        <v>1265</v>
      </c>
      <c r="S14" s="595" t="s">
        <v>1265</v>
      </c>
      <c r="T14" s="595" t="s">
        <v>1241</v>
      </c>
      <c r="U14" s="595" t="s">
        <v>1266</v>
      </c>
      <c r="V14" s="595" t="s">
        <v>1274</v>
      </c>
      <c r="W14" s="595" t="s">
        <v>1309</v>
      </c>
      <c r="X14" s="595" t="s">
        <v>1276</v>
      </c>
      <c r="Y14" s="595" t="s">
        <v>1310</v>
      </c>
      <c r="Z14" s="595" t="s">
        <v>1241</v>
      </c>
      <c r="AA14" s="595" t="s">
        <v>151</v>
      </c>
      <c r="AB14" s="594">
        <v>10087909</v>
      </c>
    </row>
    <row r="15" spans="1:28" x14ac:dyDescent="0.25">
      <c r="A15" s="25" t="str">
        <f t="shared" si="0"/>
        <v>Arboretum Primary School</v>
      </c>
      <c r="B15" s="594">
        <v>146715</v>
      </c>
      <c r="C15" s="595" t="s">
        <v>1233</v>
      </c>
      <c r="D15" s="595" t="s">
        <v>1234</v>
      </c>
      <c r="E15" s="594">
        <v>2629</v>
      </c>
      <c r="F15" s="595" t="s">
        <v>124</v>
      </c>
      <c r="G15" s="595" t="s">
        <v>1278</v>
      </c>
      <c r="H15" s="595" t="s">
        <v>1237</v>
      </c>
      <c r="I15" s="595" t="s">
        <v>1331</v>
      </c>
      <c r="J15" s="595" t="s">
        <v>151</v>
      </c>
      <c r="K15" s="595" t="s">
        <v>267</v>
      </c>
      <c r="L15" s="594">
        <v>2</v>
      </c>
      <c r="M15" s="594">
        <v>11</v>
      </c>
      <c r="N15" s="595" t="s">
        <v>1239</v>
      </c>
      <c r="O15" s="595" t="s">
        <v>1240</v>
      </c>
      <c r="P15" s="595" t="s">
        <v>1257</v>
      </c>
      <c r="Q15" s="595" t="s">
        <v>1242</v>
      </c>
      <c r="R15" s="595" t="s">
        <v>1243</v>
      </c>
      <c r="S15" s="595" t="s">
        <v>1243</v>
      </c>
      <c r="T15" s="595" t="s">
        <v>1241</v>
      </c>
      <c r="U15" s="595" t="s">
        <v>1241</v>
      </c>
      <c r="V15" s="595" t="s">
        <v>1274</v>
      </c>
      <c r="W15" s="595" t="s">
        <v>1299</v>
      </c>
      <c r="X15" s="595" t="s">
        <v>1276</v>
      </c>
      <c r="Y15" s="595" t="s">
        <v>1300</v>
      </c>
      <c r="Z15" s="595" t="s">
        <v>1241</v>
      </c>
      <c r="AA15" s="595" t="s">
        <v>151</v>
      </c>
      <c r="AB15" s="594">
        <v>10082361</v>
      </c>
    </row>
    <row r="16" spans="1:28" x14ac:dyDescent="0.25">
      <c r="A16" s="25" t="str">
        <f t="shared" si="0"/>
        <v>Ash Croft Primary Academy</v>
      </c>
      <c r="B16" s="594">
        <v>145806</v>
      </c>
      <c r="C16" s="595" t="s">
        <v>1233</v>
      </c>
      <c r="D16" s="595" t="s">
        <v>1234</v>
      </c>
      <c r="E16" s="594">
        <v>2509</v>
      </c>
      <c r="F16" s="595" t="s">
        <v>121</v>
      </c>
      <c r="G16" s="595" t="s">
        <v>1278</v>
      </c>
      <c r="H16" s="595" t="s">
        <v>1237</v>
      </c>
      <c r="I16" s="595" t="s">
        <v>1324</v>
      </c>
      <c r="J16" s="595" t="s">
        <v>151</v>
      </c>
      <c r="K16" s="595" t="s">
        <v>267</v>
      </c>
      <c r="L16" s="594">
        <v>3</v>
      </c>
      <c r="M16" s="594">
        <v>11</v>
      </c>
      <c r="N16" s="595" t="s">
        <v>1239</v>
      </c>
      <c r="O16" s="595" t="s">
        <v>1240</v>
      </c>
      <c r="P16" s="595" t="s">
        <v>1257</v>
      </c>
      <c r="Q16" s="595" t="s">
        <v>1242</v>
      </c>
      <c r="R16" s="595" t="s">
        <v>1243</v>
      </c>
      <c r="S16" s="595" t="s">
        <v>1243</v>
      </c>
      <c r="T16" s="595" t="s">
        <v>1241</v>
      </c>
      <c r="U16" s="595" t="s">
        <v>1241</v>
      </c>
      <c r="V16" s="595" t="s">
        <v>1274</v>
      </c>
      <c r="W16" s="595" t="s">
        <v>1316</v>
      </c>
      <c r="X16" s="595" t="s">
        <v>1276</v>
      </c>
      <c r="Y16" s="595" t="s">
        <v>1317</v>
      </c>
      <c r="Z16" s="595" t="s">
        <v>1241</v>
      </c>
      <c r="AA16" s="595" t="s">
        <v>151</v>
      </c>
      <c r="AB16" s="594">
        <v>10067767</v>
      </c>
    </row>
    <row r="17" spans="1:28" x14ac:dyDescent="0.25">
      <c r="A17" s="25" t="str">
        <f t="shared" si="0"/>
        <v>Ashgate Nursery School</v>
      </c>
      <c r="B17" s="594">
        <v>112479</v>
      </c>
      <c r="C17" s="595" t="s">
        <v>1233</v>
      </c>
      <c r="D17" s="595" t="s">
        <v>1234</v>
      </c>
      <c r="E17" s="594">
        <v>1014</v>
      </c>
      <c r="F17" s="595" t="s">
        <v>1254</v>
      </c>
      <c r="G17" s="595" t="s">
        <v>1236</v>
      </c>
      <c r="H17" s="595" t="s">
        <v>1237</v>
      </c>
      <c r="I17" s="595" t="s">
        <v>151</v>
      </c>
      <c r="J17" s="595" t="s">
        <v>151</v>
      </c>
      <c r="K17" s="595" t="s">
        <v>1238</v>
      </c>
      <c r="L17" s="594">
        <v>2</v>
      </c>
      <c r="M17" s="594">
        <v>5</v>
      </c>
      <c r="N17" s="595" t="s">
        <v>1239</v>
      </c>
      <c r="O17" s="595" t="s">
        <v>1240</v>
      </c>
      <c r="P17" s="595" t="s">
        <v>1241</v>
      </c>
      <c r="Q17" s="595" t="s">
        <v>1242</v>
      </c>
      <c r="R17" s="595" t="s">
        <v>1243</v>
      </c>
      <c r="S17" s="595" t="s">
        <v>1243</v>
      </c>
      <c r="T17" s="595" t="s">
        <v>1241</v>
      </c>
      <c r="U17" s="595" t="s">
        <v>1241</v>
      </c>
      <c r="V17" s="595" t="s">
        <v>1241</v>
      </c>
      <c r="W17" s="595" t="s">
        <v>151</v>
      </c>
      <c r="X17" s="595" t="s">
        <v>1241</v>
      </c>
      <c r="Y17" s="595" t="s">
        <v>151</v>
      </c>
      <c r="Z17" s="595" t="s">
        <v>1246</v>
      </c>
      <c r="AA17" s="595" t="s">
        <v>1247</v>
      </c>
      <c r="AB17" s="595" t="s">
        <v>151</v>
      </c>
    </row>
    <row r="18" spans="1:28" x14ac:dyDescent="0.25">
      <c r="A18" s="25" t="str">
        <f t="shared" si="0"/>
        <v>Ashgate Primary School</v>
      </c>
      <c r="B18" s="594">
        <v>131685</v>
      </c>
      <c r="C18" s="595" t="s">
        <v>1233</v>
      </c>
      <c r="D18" s="595" t="s">
        <v>1234</v>
      </c>
      <c r="E18" s="594">
        <v>2005</v>
      </c>
      <c r="F18" s="595" t="s">
        <v>64</v>
      </c>
      <c r="G18" s="595" t="s">
        <v>1256</v>
      </c>
      <c r="H18" s="595" t="s">
        <v>1237</v>
      </c>
      <c r="I18" s="595" t="s">
        <v>1271</v>
      </c>
      <c r="J18" s="595" t="s">
        <v>151</v>
      </c>
      <c r="K18" s="595" t="s">
        <v>267</v>
      </c>
      <c r="L18" s="594">
        <v>4</v>
      </c>
      <c r="M18" s="594">
        <v>11</v>
      </c>
      <c r="N18" s="595" t="s">
        <v>1239</v>
      </c>
      <c r="O18" s="595" t="s">
        <v>1258</v>
      </c>
      <c r="P18" s="595" t="s">
        <v>1257</v>
      </c>
      <c r="Q18" s="595" t="s">
        <v>1242</v>
      </c>
      <c r="R18" s="595" t="s">
        <v>1243</v>
      </c>
      <c r="S18" s="595" t="s">
        <v>1243</v>
      </c>
      <c r="T18" s="595" t="s">
        <v>1241</v>
      </c>
      <c r="U18" s="595" t="s">
        <v>1241</v>
      </c>
      <c r="V18" s="595" t="s">
        <v>1241</v>
      </c>
      <c r="W18" s="595" t="s">
        <v>151</v>
      </c>
      <c r="X18" s="595" t="s">
        <v>1241</v>
      </c>
      <c r="Y18" s="595" t="s">
        <v>151</v>
      </c>
      <c r="Z18" s="595" t="s">
        <v>1244</v>
      </c>
      <c r="AA18" s="595" t="s">
        <v>151</v>
      </c>
      <c r="AB18" s="594">
        <v>10076702</v>
      </c>
    </row>
    <row r="19" spans="1:28" x14ac:dyDescent="0.25">
      <c r="A19" s="25" t="str">
        <f t="shared" si="0"/>
        <v>Ashwood Spencer Academy</v>
      </c>
      <c r="B19" s="594">
        <v>146079</v>
      </c>
      <c r="C19" s="595" t="s">
        <v>1233</v>
      </c>
      <c r="D19" s="595" t="s">
        <v>1234</v>
      </c>
      <c r="E19" s="594">
        <v>2021</v>
      </c>
      <c r="F19" s="595" t="s">
        <v>104</v>
      </c>
      <c r="G19" s="595" t="s">
        <v>1272</v>
      </c>
      <c r="H19" s="595" t="s">
        <v>1237</v>
      </c>
      <c r="I19" s="595" t="s">
        <v>1325</v>
      </c>
      <c r="J19" s="595" t="s">
        <v>151</v>
      </c>
      <c r="K19" s="595" t="s">
        <v>267</v>
      </c>
      <c r="L19" s="594">
        <v>3</v>
      </c>
      <c r="M19" s="594">
        <v>11</v>
      </c>
      <c r="N19" s="595" t="s">
        <v>1239</v>
      </c>
      <c r="O19" s="595" t="s">
        <v>1240</v>
      </c>
      <c r="P19" s="595" t="s">
        <v>1257</v>
      </c>
      <c r="Q19" s="595" t="s">
        <v>1242</v>
      </c>
      <c r="R19" s="595" t="s">
        <v>1243</v>
      </c>
      <c r="S19" s="595" t="s">
        <v>1243</v>
      </c>
      <c r="T19" s="595" t="s">
        <v>1241</v>
      </c>
      <c r="U19" s="595" t="s">
        <v>1241</v>
      </c>
      <c r="V19" s="595" t="s">
        <v>1274</v>
      </c>
      <c r="W19" s="595" t="s">
        <v>1285</v>
      </c>
      <c r="X19" s="595" t="s">
        <v>1276</v>
      </c>
      <c r="Y19" s="595" t="s">
        <v>1286</v>
      </c>
      <c r="Z19" s="595" t="s">
        <v>1241</v>
      </c>
      <c r="AA19" s="595" t="s">
        <v>151</v>
      </c>
      <c r="AB19" s="594">
        <v>10081422</v>
      </c>
    </row>
    <row r="20" spans="1:28" x14ac:dyDescent="0.25">
      <c r="A20" s="25" t="str">
        <f t="shared" si="0"/>
        <v>Asterdale Primary School</v>
      </c>
      <c r="B20" s="594">
        <v>146855</v>
      </c>
      <c r="C20" s="595" t="s">
        <v>1233</v>
      </c>
      <c r="D20" s="595" t="s">
        <v>1234</v>
      </c>
      <c r="E20" s="594">
        <v>2464</v>
      </c>
      <c r="F20" s="595" t="s">
        <v>117</v>
      </c>
      <c r="G20" s="595" t="s">
        <v>1278</v>
      </c>
      <c r="H20" s="595" t="s">
        <v>1237</v>
      </c>
      <c r="I20" s="595" t="s">
        <v>1332</v>
      </c>
      <c r="J20" s="595" t="s">
        <v>151</v>
      </c>
      <c r="K20" s="595" t="s">
        <v>267</v>
      </c>
      <c r="L20" s="594">
        <v>3</v>
      </c>
      <c r="M20" s="594">
        <v>11</v>
      </c>
      <c r="N20" s="595" t="s">
        <v>1239</v>
      </c>
      <c r="O20" s="595" t="s">
        <v>1240</v>
      </c>
      <c r="P20" s="595" t="s">
        <v>1257</v>
      </c>
      <c r="Q20" s="595" t="s">
        <v>1242</v>
      </c>
      <c r="R20" s="595" t="s">
        <v>1243</v>
      </c>
      <c r="S20" s="595" t="s">
        <v>1243</v>
      </c>
      <c r="T20" s="595" t="s">
        <v>1241</v>
      </c>
      <c r="U20" s="595" t="s">
        <v>1241</v>
      </c>
      <c r="V20" s="595" t="s">
        <v>1274</v>
      </c>
      <c r="W20" s="595" t="s">
        <v>1333</v>
      </c>
      <c r="X20" s="595" t="s">
        <v>1282</v>
      </c>
      <c r="Y20" s="595" t="s">
        <v>151</v>
      </c>
      <c r="Z20" s="595" t="s">
        <v>1241</v>
      </c>
      <c r="AA20" s="595" t="s">
        <v>151</v>
      </c>
      <c r="AB20" s="594">
        <v>10082665</v>
      </c>
    </row>
    <row r="21" spans="1:28" x14ac:dyDescent="0.25">
      <c r="A21" s="25" t="str">
        <f t="shared" si="0"/>
        <v>Beaufort Community Primary School</v>
      </c>
      <c r="B21" s="594">
        <v>146877</v>
      </c>
      <c r="C21" s="595" t="s">
        <v>1233</v>
      </c>
      <c r="D21" s="595" t="s">
        <v>1234</v>
      </c>
      <c r="E21" s="594">
        <v>2004</v>
      </c>
      <c r="F21" s="595" t="s">
        <v>89</v>
      </c>
      <c r="G21" s="595" t="s">
        <v>1278</v>
      </c>
      <c r="H21" s="595" t="s">
        <v>1237</v>
      </c>
      <c r="I21" s="595" t="s">
        <v>1330</v>
      </c>
      <c r="J21" s="595" t="s">
        <v>151</v>
      </c>
      <c r="K21" s="595" t="s">
        <v>267</v>
      </c>
      <c r="L21" s="594">
        <v>3</v>
      </c>
      <c r="M21" s="594">
        <v>11</v>
      </c>
      <c r="N21" s="595" t="s">
        <v>1239</v>
      </c>
      <c r="O21" s="595" t="s">
        <v>1240</v>
      </c>
      <c r="P21" s="595" t="s">
        <v>1257</v>
      </c>
      <c r="Q21" s="595" t="s">
        <v>1242</v>
      </c>
      <c r="R21" s="595" t="s">
        <v>1243</v>
      </c>
      <c r="S21" s="595" t="s">
        <v>1243</v>
      </c>
      <c r="T21" s="595" t="s">
        <v>1241</v>
      </c>
      <c r="U21" s="595" t="s">
        <v>1241</v>
      </c>
      <c r="V21" s="595" t="s">
        <v>1274</v>
      </c>
      <c r="W21" s="595" t="s">
        <v>1333</v>
      </c>
      <c r="X21" s="595" t="s">
        <v>1282</v>
      </c>
      <c r="Y21" s="595" t="s">
        <v>151</v>
      </c>
      <c r="Z21" s="595" t="s">
        <v>1241</v>
      </c>
      <c r="AA21" s="595" t="s">
        <v>151</v>
      </c>
      <c r="AB21" s="594">
        <v>10083000</v>
      </c>
    </row>
    <row r="22" spans="1:28" x14ac:dyDescent="0.25">
      <c r="A22" s="25" t="str">
        <f t="shared" si="0"/>
        <v>Becket Primary School</v>
      </c>
      <c r="B22" s="594">
        <v>112717</v>
      </c>
      <c r="C22" s="595" t="s">
        <v>1233</v>
      </c>
      <c r="D22" s="595" t="s">
        <v>1234</v>
      </c>
      <c r="E22" s="594">
        <v>2405</v>
      </c>
      <c r="F22" s="595" t="s">
        <v>65</v>
      </c>
      <c r="G22" s="595" t="s">
        <v>1256</v>
      </c>
      <c r="H22" s="595" t="s">
        <v>1237</v>
      </c>
      <c r="I22" s="595" t="s">
        <v>151</v>
      </c>
      <c r="J22" s="595" t="s">
        <v>151</v>
      </c>
      <c r="K22" s="595" t="s">
        <v>267</v>
      </c>
      <c r="L22" s="594">
        <v>3</v>
      </c>
      <c r="M22" s="594">
        <v>11</v>
      </c>
      <c r="N22" s="595" t="s">
        <v>1239</v>
      </c>
      <c r="O22" s="595" t="s">
        <v>1240</v>
      </c>
      <c r="P22" s="595" t="s">
        <v>1257</v>
      </c>
      <c r="Q22" s="595" t="s">
        <v>1242</v>
      </c>
      <c r="R22" s="595" t="s">
        <v>1243</v>
      </c>
      <c r="S22" s="595" t="s">
        <v>1243</v>
      </c>
      <c r="T22" s="595" t="s">
        <v>1241</v>
      </c>
      <c r="U22" s="595" t="s">
        <v>1241</v>
      </c>
      <c r="V22" s="595" t="s">
        <v>1241</v>
      </c>
      <c r="W22" s="595" t="s">
        <v>151</v>
      </c>
      <c r="X22" s="595" t="s">
        <v>1241</v>
      </c>
      <c r="Y22" s="595" t="s">
        <v>151</v>
      </c>
      <c r="Z22" s="595" t="s">
        <v>1244</v>
      </c>
      <c r="AA22" s="595" t="s">
        <v>151</v>
      </c>
      <c r="AB22" s="594">
        <v>10077261</v>
      </c>
    </row>
    <row r="23" spans="1:28" x14ac:dyDescent="0.25">
      <c r="A23" s="25" t="str">
        <f t="shared" si="0"/>
        <v>Bishop Lonsdale Church of England Primary School and Nursery</v>
      </c>
      <c r="B23" s="594">
        <v>140842</v>
      </c>
      <c r="C23" s="595" t="s">
        <v>1233</v>
      </c>
      <c r="D23" s="595" t="s">
        <v>1234</v>
      </c>
      <c r="E23" s="594">
        <v>2011</v>
      </c>
      <c r="F23" s="595" t="s">
        <v>95</v>
      </c>
      <c r="G23" s="595" t="s">
        <v>1272</v>
      </c>
      <c r="H23" s="595" t="s">
        <v>1237</v>
      </c>
      <c r="I23" s="595" t="s">
        <v>1298</v>
      </c>
      <c r="J23" s="595" t="s">
        <v>151</v>
      </c>
      <c r="K23" s="595" t="s">
        <v>267</v>
      </c>
      <c r="L23" s="594">
        <v>3</v>
      </c>
      <c r="M23" s="594">
        <v>11</v>
      </c>
      <c r="N23" s="595" t="s">
        <v>1239</v>
      </c>
      <c r="O23" s="595" t="s">
        <v>1240</v>
      </c>
      <c r="P23" s="595" t="s">
        <v>1257</v>
      </c>
      <c r="Q23" s="595" t="s">
        <v>1242</v>
      </c>
      <c r="R23" s="595" t="s">
        <v>1261</v>
      </c>
      <c r="S23" s="595" t="s">
        <v>1265</v>
      </c>
      <c r="T23" s="595" t="s">
        <v>1262</v>
      </c>
      <c r="U23" s="595" t="s">
        <v>1241</v>
      </c>
      <c r="V23" s="595" t="s">
        <v>1274</v>
      </c>
      <c r="W23" s="595" t="s">
        <v>1299</v>
      </c>
      <c r="X23" s="595" t="s">
        <v>1276</v>
      </c>
      <c r="Y23" s="595" t="s">
        <v>1300</v>
      </c>
      <c r="Z23" s="595" t="s">
        <v>1241</v>
      </c>
      <c r="AA23" s="595" t="s">
        <v>151</v>
      </c>
      <c r="AB23" s="594">
        <v>10045836</v>
      </c>
    </row>
    <row r="24" spans="1:28" x14ac:dyDescent="0.25">
      <c r="A24" s="25" t="str">
        <f t="shared" si="0"/>
        <v>Borrow Wood Primary School</v>
      </c>
      <c r="B24" s="594">
        <v>146847</v>
      </c>
      <c r="C24" s="595" t="s">
        <v>1233</v>
      </c>
      <c r="D24" s="595" t="s">
        <v>1234</v>
      </c>
      <c r="E24" s="594">
        <v>5201</v>
      </c>
      <c r="F24" s="595" t="s">
        <v>136</v>
      </c>
      <c r="G24" s="595" t="s">
        <v>1278</v>
      </c>
      <c r="H24" s="595" t="s">
        <v>1237</v>
      </c>
      <c r="I24" s="595" t="s">
        <v>1332</v>
      </c>
      <c r="J24" s="595" t="s">
        <v>151</v>
      </c>
      <c r="K24" s="595" t="s">
        <v>267</v>
      </c>
      <c r="L24" s="594">
        <v>3</v>
      </c>
      <c r="M24" s="594">
        <v>11</v>
      </c>
      <c r="N24" s="595" t="s">
        <v>1239</v>
      </c>
      <c r="O24" s="595" t="s">
        <v>1240</v>
      </c>
      <c r="P24" s="595" t="s">
        <v>1257</v>
      </c>
      <c r="Q24" s="595" t="s">
        <v>1242</v>
      </c>
      <c r="R24" s="595" t="s">
        <v>1243</v>
      </c>
      <c r="S24" s="595" t="s">
        <v>1243</v>
      </c>
      <c r="T24" s="595" t="s">
        <v>1241</v>
      </c>
      <c r="U24" s="595" t="s">
        <v>1241</v>
      </c>
      <c r="V24" s="595" t="s">
        <v>1274</v>
      </c>
      <c r="W24" s="595" t="s">
        <v>1333</v>
      </c>
      <c r="X24" s="595" t="s">
        <v>1282</v>
      </c>
      <c r="Y24" s="595" t="s">
        <v>151</v>
      </c>
      <c r="Z24" s="595" t="s">
        <v>1241</v>
      </c>
      <c r="AA24" s="595" t="s">
        <v>151</v>
      </c>
      <c r="AB24" s="594">
        <v>10082666</v>
      </c>
    </row>
    <row r="25" spans="1:28" x14ac:dyDescent="0.25">
      <c r="A25" s="25" t="str">
        <f t="shared" si="0"/>
        <v>Brackensdale Spencer Academy</v>
      </c>
      <c r="B25" s="594">
        <v>148384</v>
      </c>
      <c r="C25" s="595" t="s">
        <v>1233</v>
      </c>
      <c r="D25" s="595" t="s">
        <v>1234</v>
      </c>
      <c r="E25" s="594">
        <v>2026</v>
      </c>
      <c r="F25" s="595" t="s">
        <v>109</v>
      </c>
      <c r="G25" s="595" t="s">
        <v>1272</v>
      </c>
      <c r="H25" s="595" t="s">
        <v>1237</v>
      </c>
      <c r="I25" s="595" t="s">
        <v>1334</v>
      </c>
      <c r="J25" s="595" t="s">
        <v>151</v>
      </c>
      <c r="K25" s="595" t="s">
        <v>267</v>
      </c>
      <c r="L25" s="594">
        <v>3</v>
      </c>
      <c r="M25" s="594">
        <v>11</v>
      </c>
      <c r="N25" s="595" t="s">
        <v>1239</v>
      </c>
      <c r="O25" s="595" t="s">
        <v>1240</v>
      </c>
      <c r="P25" s="595" t="s">
        <v>1257</v>
      </c>
      <c r="Q25" s="595" t="s">
        <v>1242</v>
      </c>
      <c r="R25" s="595" t="s">
        <v>1243</v>
      </c>
      <c r="S25" s="595" t="s">
        <v>1243</v>
      </c>
      <c r="T25" s="595" t="s">
        <v>1241</v>
      </c>
      <c r="U25" s="595" t="s">
        <v>1241</v>
      </c>
      <c r="V25" s="595" t="s">
        <v>1274</v>
      </c>
      <c r="W25" s="595" t="s">
        <v>1285</v>
      </c>
      <c r="X25" s="595" t="s">
        <v>1276</v>
      </c>
      <c r="Y25" s="595" t="s">
        <v>1286</v>
      </c>
      <c r="Z25" s="595" t="s">
        <v>1241</v>
      </c>
      <c r="AA25" s="595" t="s">
        <v>151</v>
      </c>
      <c r="AB25" s="594">
        <v>10087559</v>
      </c>
    </row>
    <row r="26" spans="1:28" x14ac:dyDescent="0.25">
      <c r="A26" s="25" t="str">
        <f t="shared" si="0"/>
        <v>Breadsall Hill Top Primary School</v>
      </c>
      <c r="B26" s="594">
        <v>144624</v>
      </c>
      <c r="C26" s="595" t="s">
        <v>1233</v>
      </c>
      <c r="D26" s="595" t="s">
        <v>1234</v>
      </c>
      <c r="E26" s="594">
        <v>2018</v>
      </c>
      <c r="F26" s="595" t="s">
        <v>101</v>
      </c>
      <c r="G26" s="595" t="s">
        <v>1272</v>
      </c>
      <c r="H26" s="595" t="s">
        <v>1237</v>
      </c>
      <c r="I26" s="595" t="s">
        <v>1314</v>
      </c>
      <c r="J26" s="595" t="s">
        <v>151</v>
      </c>
      <c r="K26" s="595" t="s">
        <v>267</v>
      </c>
      <c r="L26" s="594">
        <v>2</v>
      </c>
      <c r="M26" s="594">
        <v>11</v>
      </c>
      <c r="N26" s="595" t="s">
        <v>1239</v>
      </c>
      <c r="O26" s="595" t="s">
        <v>1240</v>
      </c>
      <c r="P26" s="595" t="s">
        <v>1257</v>
      </c>
      <c r="Q26" s="595" t="s">
        <v>1242</v>
      </c>
      <c r="R26" s="595" t="s">
        <v>1243</v>
      </c>
      <c r="S26" s="595" t="s">
        <v>151</v>
      </c>
      <c r="T26" s="595" t="s">
        <v>1241</v>
      </c>
      <c r="U26" s="595" t="s">
        <v>1266</v>
      </c>
      <c r="V26" s="595" t="s">
        <v>1274</v>
      </c>
      <c r="W26" s="595" t="s">
        <v>1293</v>
      </c>
      <c r="X26" s="595" t="s">
        <v>1276</v>
      </c>
      <c r="Y26" s="595" t="s">
        <v>1294</v>
      </c>
      <c r="Z26" s="595" t="s">
        <v>1241</v>
      </c>
      <c r="AA26" s="595" t="s">
        <v>151</v>
      </c>
      <c r="AB26" s="594">
        <v>10064478</v>
      </c>
    </row>
    <row r="27" spans="1:28" x14ac:dyDescent="0.25">
      <c r="A27" s="25" t="str">
        <f t="shared" si="0"/>
        <v>Brookfield Primary School</v>
      </c>
      <c r="B27" s="594">
        <v>147119</v>
      </c>
      <c r="C27" s="595" t="s">
        <v>1233</v>
      </c>
      <c r="D27" s="595" t="s">
        <v>1234</v>
      </c>
      <c r="E27" s="594">
        <v>2512</v>
      </c>
      <c r="F27" s="595" t="s">
        <v>122</v>
      </c>
      <c r="G27" s="595" t="s">
        <v>1278</v>
      </c>
      <c r="H27" s="595" t="s">
        <v>1237</v>
      </c>
      <c r="I27" s="595" t="s">
        <v>1335</v>
      </c>
      <c r="J27" s="595" t="s">
        <v>151</v>
      </c>
      <c r="K27" s="595" t="s">
        <v>267</v>
      </c>
      <c r="L27" s="594">
        <v>3</v>
      </c>
      <c r="M27" s="594">
        <v>11</v>
      </c>
      <c r="N27" s="595" t="s">
        <v>1239</v>
      </c>
      <c r="O27" s="595" t="s">
        <v>1240</v>
      </c>
      <c r="P27" s="595" t="s">
        <v>1257</v>
      </c>
      <c r="Q27" s="595" t="s">
        <v>1242</v>
      </c>
      <c r="R27" s="595" t="s">
        <v>1243</v>
      </c>
      <c r="S27" s="595" t="s">
        <v>1243</v>
      </c>
      <c r="T27" s="595" t="s">
        <v>1241</v>
      </c>
      <c r="U27" s="595" t="s">
        <v>1241</v>
      </c>
      <c r="V27" s="595" t="s">
        <v>1274</v>
      </c>
      <c r="W27" s="595" t="s">
        <v>1320</v>
      </c>
      <c r="X27" s="595" t="s">
        <v>1276</v>
      </c>
      <c r="Y27" s="595" t="s">
        <v>1321</v>
      </c>
      <c r="Z27" s="595" t="s">
        <v>1241</v>
      </c>
      <c r="AA27" s="595" t="s">
        <v>151</v>
      </c>
      <c r="AB27" s="594">
        <v>10083207</v>
      </c>
    </row>
    <row r="28" spans="1:28" x14ac:dyDescent="0.25">
      <c r="A28" s="25" t="str">
        <f t="shared" si="0"/>
        <v>Carlyle Infant and Nursery Academy</v>
      </c>
      <c r="B28" s="594">
        <v>147125</v>
      </c>
      <c r="C28" s="595" t="s">
        <v>1233</v>
      </c>
      <c r="D28" s="595" t="s">
        <v>1234</v>
      </c>
      <c r="E28" s="594">
        <v>2456</v>
      </c>
      <c r="F28" s="595" t="s">
        <v>115</v>
      </c>
      <c r="G28" s="595" t="s">
        <v>1278</v>
      </c>
      <c r="H28" s="595" t="s">
        <v>1237</v>
      </c>
      <c r="I28" s="595" t="s">
        <v>1336</v>
      </c>
      <c r="J28" s="595" t="s">
        <v>151</v>
      </c>
      <c r="K28" s="595" t="s">
        <v>267</v>
      </c>
      <c r="L28" s="594">
        <v>3</v>
      </c>
      <c r="M28" s="594">
        <v>7</v>
      </c>
      <c r="N28" s="595" t="s">
        <v>1239</v>
      </c>
      <c r="O28" s="595" t="s">
        <v>1240</v>
      </c>
      <c r="P28" s="595" t="s">
        <v>1257</v>
      </c>
      <c r="Q28" s="595" t="s">
        <v>1242</v>
      </c>
      <c r="R28" s="595" t="s">
        <v>1243</v>
      </c>
      <c r="S28" s="595" t="s">
        <v>1243</v>
      </c>
      <c r="T28" s="595" t="s">
        <v>1241</v>
      </c>
      <c r="U28" s="595" t="s">
        <v>1241</v>
      </c>
      <c r="V28" s="595" t="s">
        <v>1274</v>
      </c>
      <c r="W28" s="595" t="s">
        <v>1316</v>
      </c>
      <c r="X28" s="595" t="s">
        <v>1276</v>
      </c>
      <c r="Y28" s="595" t="s">
        <v>1317</v>
      </c>
      <c r="Z28" s="595" t="s">
        <v>1241</v>
      </c>
      <c r="AA28" s="595" t="s">
        <v>151</v>
      </c>
      <c r="AB28" s="594">
        <v>10083901</v>
      </c>
    </row>
    <row r="29" spans="1:28" x14ac:dyDescent="0.25">
      <c r="A29" s="25" t="str">
        <f t="shared" si="0"/>
        <v>Castleward Spencer Academy</v>
      </c>
      <c r="B29" s="594">
        <v>148585</v>
      </c>
      <c r="C29" s="595" t="s">
        <v>1233</v>
      </c>
      <c r="D29" s="595" t="s">
        <v>1234</v>
      </c>
      <c r="E29" s="594">
        <v>2027</v>
      </c>
      <c r="F29" s="595" t="s">
        <v>110</v>
      </c>
      <c r="G29" s="595" t="s">
        <v>1291</v>
      </c>
      <c r="H29" s="595" t="s">
        <v>1237</v>
      </c>
      <c r="I29" s="595" t="s">
        <v>1344</v>
      </c>
      <c r="J29" s="595" t="s">
        <v>151</v>
      </c>
      <c r="K29" s="595" t="s">
        <v>267</v>
      </c>
      <c r="L29" s="594">
        <v>3</v>
      </c>
      <c r="M29" s="594">
        <v>11</v>
      </c>
      <c r="N29" s="595" t="s">
        <v>1239</v>
      </c>
      <c r="O29" s="595" t="s">
        <v>1240</v>
      </c>
      <c r="P29" s="595" t="s">
        <v>1257</v>
      </c>
      <c r="Q29" s="595" t="s">
        <v>1242</v>
      </c>
      <c r="R29" s="595" t="s">
        <v>1265</v>
      </c>
      <c r="S29" s="595" t="s">
        <v>1265</v>
      </c>
      <c r="T29" s="595" t="s">
        <v>1241</v>
      </c>
      <c r="U29" s="595" t="s">
        <v>1266</v>
      </c>
      <c r="V29" s="595" t="s">
        <v>1274</v>
      </c>
      <c r="W29" s="595" t="s">
        <v>1285</v>
      </c>
      <c r="X29" s="595" t="s">
        <v>1276</v>
      </c>
      <c r="Y29" s="595" t="s">
        <v>1286</v>
      </c>
      <c r="Z29" s="595" t="s">
        <v>1241</v>
      </c>
      <c r="AA29" s="595" t="s">
        <v>151</v>
      </c>
      <c r="AB29" s="594">
        <v>10088744</v>
      </c>
    </row>
    <row r="30" spans="1:28" x14ac:dyDescent="0.25">
      <c r="A30" s="25" t="str">
        <f t="shared" si="0"/>
        <v>Cavendish Close Infant School</v>
      </c>
      <c r="B30" s="594">
        <v>112749</v>
      </c>
      <c r="C30" s="595" t="s">
        <v>1233</v>
      </c>
      <c r="D30" s="595" t="s">
        <v>1234</v>
      </c>
      <c r="E30" s="594">
        <v>2449</v>
      </c>
      <c r="F30" s="595" t="s">
        <v>73</v>
      </c>
      <c r="G30" s="595" t="s">
        <v>1256</v>
      </c>
      <c r="H30" s="595" t="s">
        <v>1237</v>
      </c>
      <c r="I30" s="595" t="s">
        <v>151</v>
      </c>
      <c r="J30" s="595" t="s">
        <v>151</v>
      </c>
      <c r="K30" s="595" t="s">
        <v>267</v>
      </c>
      <c r="L30" s="594">
        <v>3</v>
      </c>
      <c r="M30" s="594">
        <v>7</v>
      </c>
      <c r="N30" s="595" t="s">
        <v>1239</v>
      </c>
      <c r="O30" s="595" t="s">
        <v>1240</v>
      </c>
      <c r="P30" s="595" t="s">
        <v>1257</v>
      </c>
      <c r="Q30" s="595" t="s">
        <v>1242</v>
      </c>
      <c r="R30" s="595" t="s">
        <v>1243</v>
      </c>
      <c r="S30" s="595" t="s">
        <v>1243</v>
      </c>
      <c r="T30" s="595" t="s">
        <v>1241</v>
      </c>
      <c r="U30" s="595" t="s">
        <v>1241</v>
      </c>
      <c r="V30" s="595" t="s">
        <v>1241</v>
      </c>
      <c r="W30" s="595" t="s">
        <v>151</v>
      </c>
      <c r="X30" s="595" t="s">
        <v>1241</v>
      </c>
      <c r="Y30" s="595" t="s">
        <v>151</v>
      </c>
      <c r="Z30" s="595" t="s">
        <v>1244</v>
      </c>
      <c r="AA30" s="595" t="s">
        <v>151</v>
      </c>
      <c r="AB30" s="594">
        <v>10076477</v>
      </c>
    </row>
    <row r="31" spans="1:28" x14ac:dyDescent="0.25">
      <c r="A31" s="25" t="str">
        <f t="shared" si="0"/>
        <v>Cavendish Close Junior Academy</v>
      </c>
      <c r="B31" s="594">
        <v>144822</v>
      </c>
      <c r="C31" s="595" t="s">
        <v>1233</v>
      </c>
      <c r="D31" s="595" t="s">
        <v>1234</v>
      </c>
      <c r="E31" s="594">
        <v>2019</v>
      </c>
      <c r="F31" s="595" t="s">
        <v>102</v>
      </c>
      <c r="G31" s="595" t="s">
        <v>1272</v>
      </c>
      <c r="H31" s="595" t="s">
        <v>1237</v>
      </c>
      <c r="I31" s="595" t="s">
        <v>1315</v>
      </c>
      <c r="J31" s="595" t="s">
        <v>151</v>
      </c>
      <c r="K31" s="595" t="s">
        <v>267</v>
      </c>
      <c r="L31" s="594">
        <v>7</v>
      </c>
      <c r="M31" s="594">
        <v>11</v>
      </c>
      <c r="N31" s="595" t="s">
        <v>1239</v>
      </c>
      <c r="O31" s="595" t="s">
        <v>1258</v>
      </c>
      <c r="P31" s="595" t="s">
        <v>1257</v>
      </c>
      <c r="Q31" s="595" t="s">
        <v>1242</v>
      </c>
      <c r="R31" s="595" t="s">
        <v>1243</v>
      </c>
      <c r="S31" s="595" t="s">
        <v>151</v>
      </c>
      <c r="T31" s="595" t="s">
        <v>1241</v>
      </c>
      <c r="U31" s="595" t="s">
        <v>1241</v>
      </c>
      <c r="V31" s="595" t="s">
        <v>1274</v>
      </c>
      <c r="W31" s="595" t="s">
        <v>1316</v>
      </c>
      <c r="X31" s="595" t="s">
        <v>1276</v>
      </c>
      <c r="Y31" s="595" t="s">
        <v>1317</v>
      </c>
      <c r="Z31" s="595" t="s">
        <v>1241</v>
      </c>
      <c r="AA31" s="595" t="s">
        <v>151</v>
      </c>
      <c r="AB31" s="594">
        <v>10064852</v>
      </c>
    </row>
    <row r="32" spans="1:28" x14ac:dyDescent="0.25">
      <c r="A32" s="25" t="str">
        <f t="shared" si="0"/>
        <v>Central Community Nursery School</v>
      </c>
      <c r="B32" s="594">
        <v>112472</v>
      </c>
      <c r="C32" s="595" t="s">
        <v>1233</v>
      </c>
      <c r="D32" s="595" t="s">
        <v>1234</v>
      </c>
      <c r="E32" s="594">
        <v>1006</v>
      </c>
      <c r="F32" s="595" t="s">
        <v>1245</v>
      </c>
      <c r="G32" s="595" t="s">
        <v>1236</v>
      </c>
      <c r="H32" s="595" t="s">
        <v>1237</v>
      </c>
      <c r="I32" s="595" t="s">
        <v>151</v>
      </c>
      <c r="J32" s="595" t="s">
        <v>151</v>
      </c>
      <c r="K32" s="595" t="s">
        <v>1238</v>
      </c>
      <c r="L32" s="594">
        <v>0</v>
      </c>
      <c r="M32" s="594">
        <v>5</v>
      </c>
      <c r="N32" s="595" t="s">
        <v>1239</v>
      </c>
      <c r="O32" s="595" t="s">
        <v>1240</v>
      </c>
      <c r="P32" s="595" t="s">
        <v>1241</v>
      </c>
      <c r="Q32" s="595" t="s">
        <v>1242</v>
      </c>
      <c r="R32" s="595" t="s">
        <v>1243</v>
      </c>
      <c r="S32" s="595" t="s">
        <v>1243</v>
      </c>
      <c r="T32" s="595" t="s">
        <v>1241</v>
      </c>
      <c r="U32" s="595" t="s">
        <v>1241</v>
      </c>
      <c r="V32" s="595" t="s">
        <v>1241</v>
      </c>
      <c r="W32" s="595" t="s">
        <v>151</v>
      </c>
      <c r="X32" s="595" t="s">
        <v>1241</v>
      </c>
      <c r="Y32" s="595" t="s">
        <v>151</v>
      </c>
      <c r="Z32" s="595" t="s">
        <v>1246</v>
      </c>
      <c r="AA32" s="595" t="s">
        <v>1247</v>
      </c>
      <c r="AB32" s="595" t="s">
        <v>151</v>
      </c>
    </row>
    <row r="33" spans="1:28" x14ac:dyDescent="0.25">
      <c r="A33" s="25" t="str">
        <f t="shared" si="0"/>
        <v>Chaddesden Park Primary School</v>
      </c>
      <c r="B33" s="594">
        <v>145592</v>
      </c>
      <c r="C33" s="595" t="s">
        <v>1233</v>
      </c>
      <c r="D33" s="595" t="s">
        <v>1234</v>
      </c>
      <c r="E33" s="594">
        <v>2467</v>
      </c>
      <c r="F33" s="595" t="s">
        <v>119</v>
      </c>
      <c r="G33" s="595" t="s">
        <v>1278</v>
      </c>
      <c r="H33" s="595" t="s">
        <v>1237</v>
      </c>
      <c r="I33" s="595" t="s">
        <v>1319</v>
      </c>
      <c r="J33" s="595" t="s">
        <v>151</v>
      </c>
      <c r="K33" s="595" t="s">
        <v>267</v>
      </c>
      <c r="L33" s="594">
        <v>3</v>
      </c>
      <c r="M33" s="594">
        <v>11</v>
      </c>
      <c r="N33" s="595" t="s">
        <v>1239</v>
      </c>
      <c r="O33" s="595" t="s">
        <v>1240</v>
      </c>
      <c r="P33" s="595" t="s">
        <v>1257</v>
      </c>
      <c r="Q33" s="595" t="s">
        <v>1242</v>
      </c>
      <c r="R33" s="595" t="s">
        <v>1243</v>
      </c>
      <c r="S33" s="595" t="s">
        <v>1243</v>
      </c>
      <c r="T33" s="595" t="s">
        <v>1241</v>
      </c>
      <c r="U33" s="595" t="s">
        <v>1241</v>
      </c>
      <c r="V33" s="595" t="s">
        <v>1274</v>
      </c>
      <c r="W33" s="595" t="s">
        <v>1320</v>
      </c>
      <c r="X33" s="595" t="s">
        <v>1276</v>
      </c>
      <c r="Y33" s="595" t="s">
        <v>1321</v>
      </c>
      <c r="Z33" s="595" t="s">
        <v>1241</v>
      </c>
      <c r="AA33" s="595" t="s">
        <v>151</v>
      </c>
      <c r="AB33" s="594">
        <v>10067212</v>
      </c>
    </row>
    <row r="34" spans="1:28" x14ac:dyDescent="0.25">
      <c r="A34" s="25" t="str">
        <f t="shared" si="0"/>
        <v>Chellaston Academy</v>
      </c>
      <c r="B34" s="594">
        <v>148639</v>
      </c>
      <c r="C34" s="595" t="s">
        <v>1233</v>
      </c>
      <c r="D34" s="595" t="s">
        <v>1234</v>
      </c>
      <c r="E34" s="594">
        <v>4012</v>
      </c>
      <c r="F34" s="595" t="s">
        <v>145</v>
      </c>
      <c r="G34" s="595" t="s">
        <v>1278</v>
      </c>
      <c r="H34" s="595" t="s">
        <v>1237</v>
      </c>
      <c r="I34" s="595" t="s">
        <v>1345</v>
      </c>
      <c r="J34" s="595" t="s">
        <v>151</v>
      </c>
      <c r="K34" s="595" t="s">
        <v>199</v>
      </c>
      <c r="L34" s="594">
        <v>11</v>
      </c>
      <c r="M34" s="594">
        <v>18</v>
      </c>
      <c r="N34" s="595" t="s">
        <v>1239</v>
      </c>
      <c r="O34" s="595" t="s">
        <v>1258</v>
      </c>
      <c r="P34" s="595" t="s">
        <v>1264</v>
      </c>
      <c r="Q34" s="595" t="s">
        <v>1242</v>
      </c>
      <c r="R34" s="595" t="s">
        <v>1265</v>
      </c>
      <c r="S34" s="595" t="s">
        <v>1243</v>
      </c>
      <c r="T34" s="595" t="s">
        <v>1241</v>
      </c>
      <c r="U34" s="595" t="s">
        <v>151</v>
      </c>
      <c r="V34" s="595" t="s">
        <v>1274</v>
      </c>
      <c r="W34" s="595" t="s">
        <v>1318</v>
      </c>
      <c r="X34" s="595" t="s">
        <v>1276</v>
      </c>
      <c r="Y34" s="595" t="s">
        <v>1318</v>
      </c>
      <c r="Z34" s="595" t="s">
        <v>1241</v>
      </c>
      <c r="AA34" s="595" t="s">
        <v>151</v>
      </c>
      <c r="AB34" s="594">
        <v>10088466</v>
      </c>
    </row>
    <row r="35" spans="1:28" x14ac:dyDescent="0.25">
      <c r="A35" s="25" t="str">
        <f t="shared" si="0"/>
        <v>Chellaston Infant School</v>
      </c>
      <c r="B35" s="594">
        <v>146507</v>
      </c>
      <c r="C35" s="595" t="s">
        <v>1233</v>
      </c>
      <c r="D35" s="595" t="s">
        <v>1234</v>
      </c>
      <c r="E35" s="594">
        <v>2455</v>
      </c>
      <c r="F35" s="595" t="s">
        <v>114</v>
      </c>
      <c r="G35" s="595" t="s">
        <v>1278</v>
      </c>
      <c r="H35" s="595" t="s">
        <v>1237</v>
      </c>
      <c r="I35" s="595" t="s">
        <v>1330</v>
      </c>
      <c r="J35" s="595" t="s">
        <v>151</v>
      </c>
      <c r="K35" s="595" t="s">
        <v>267</v>
      </c>
      <c r="L35" s="594">
        <v>5</v>
      </c>
      <c r="M35" s="594">
        <v>7</v>
      </c>
      <c r="N35" s="595" t="s">
        <v>1239</v>
      </c>
      <c r="O35" s="595" t="s">
        <v>1258</v>
      </c>
      <c r="P35" s="595" t="s">
        <v>1257</v>
      </c>
      <c r="Q35" s="595" t="s">
        <v>1242</v>
      </c>
      <c r="R35" s="595" t="s">
        <v>1243</v>
      </c>
      <c r="S35" s="595" t="s">
        <v>1243</v>
      </c>
      <c r="T35" s="595" t="s">
        <v>1241</v>
      </c>
      <c r="U35" s="595" t="s">
        <v>1241</v>
      </c>
      <c r="V35" s="595" t="s">
        <v>1274</v>
      </c>
      <c r="W35" s="595" t="s">
        <v>1328</v>
      </c>
      <c r="X35" s="595" t="s">
        <v>1276</v>
      </c>
      <c r="Y35" s="595" t="s">
        <v>1329</v>
      </c>
      <c r="Z35" s="595" t="s">
        <v>1241</v>
      </c>
      <c r="AA35" s="595" t="s">
        <v>151</v>
      </c>
      <c r="AB35" s="594">
        <v>10082925</v>
      </c>
    </row>
    <row r="36" spans="1:28" x14ac:dyDescent="0.25">
      <c r="A36" s="25" t="str">
        <f t="shared" si="0"/>
        <v>Chellaston Junior School</v>
      </c>
      <c r="B36" s="594">
        <v>146500</v>
      </c>
      <c r="C36" s="595" t="s">
        <v>1233</v>
      </c>
      <c r="D36" s="595" t="s">
        <v>1234</v>
      </c>
      <c r="E36" s="594">
        <v>5203</v>
      </c>
      <c r="F36" s="595" t="s">
        <v>137</v>
      </c>
      <c r="G36" s="595" t="s">
        <v>1278</v>
      </c>
      <c r="H36" s="595" t="s">
        <v>1237</v>
      </c>
      <c r="I36" s="595" t="s">
        <v>1330</v>
      </c>
      <c r="J36" s="595" t="s">
        <v>151</v>
      </c>
      <c r="K36" s="595" t="s">
        <v>267</v>
      </c>
      <c r="L36" s="594">
        <v>7</v>
      </c>
      <c r="M36" s="594">
        <v>11</v>
      </c>
      <c r="N36" s="595" t="s">
        <v>1239</v>
      </c>
      <c r="O36" s="595" t="s">
        <v>1258</v>
      </c>
      <c r="P36" s="595" t="s">
        <v>1257</v>
      </c>
      <c r="Q36" s="595" t="s">
        <v>1242</v>
      </c>
      <c r="R36" s="595" t="s">
        <v>1265</v>
      </c>
      <c r="S36" s="595" t="s">
        <v>1243</v>
      </c>
      <c r="T36" s="595" t="s">
        <v>1241</v>
      </c>
      <c r="U36" s="595" t="s">
        <v>1241</v>
      </c>
      <c r="V36" s="595" t="s">
        <v>1274</v>
      </c>
      <c r="W36" s="595" t="s">
        <v>1328</v>
      </c>
      <c r="X36" s="595" t="s">
        <v>1276</v>
      </c>
      <c r="Y36" s="595" t="s">
        <v>1329</v>
      </c>
      <c r="Z36" s="595" t="s">
        <v>1241</v>
      </c>
      <c r="AA36" s="595" t="s">
        <v>151</v>
      </c>
      <c r="AB36" s="594">
        <v>10082923</v>
      </c>
    </row>
    <row r="37" spans="1:28" x14ac:dyDescent="0.25">
      <c r="A37" s="25" t="str">
        <f t="shared" si="0"/>
        <v>Cherry Tree Hill Primary School</v>
      </c>
      <c r="B37" s="594">
        <v>146921</v>
      </c>
      <c r="C37" s="595" t="s">
        <v>1233</v>
      </c>
      <c r="D37" s="595" t="s">
        <v>1234</v>
      </c>
      <c r="E37" s="594">
        <v>2451</v>
      </c>
      <c r="F37" s="595" t="s">
        <v>113</v>
      </c>
      <c r="G37" s="595" t="s">
        <v>1278</v>
      </c>
      <c r="H37" s="595" t="s">
        <v>1237</v>
      </c>
      <c r="I37" s="595" t="s">
        <v>1330</v>
      </c>
      <c r="J37" s="595" t="s">
        <v>151</v>
      </c>
      <c r="K37" s="595" t="s">
        <v>267</v>
      </c>
      <c r="L37" s="594">
        <v>3</v>
      </c>
      <c r="M37" s="594">
        <v>11</v>
      </c>
      <c r="N37" s="595" t="s">
        <v>1239</v>
      </c>
      <c r="O37" s="595" t="s">
        <v>1240</v>
      </c>
      <c r="P37" s="595" t="s">
        <v>1257</v>
      </c>
      <c r="Q37" s="595" t="s">
        <v>1242</v>
      </c>
      <c r="R37" s="595" t="s">
        <v>1243</v>
      </c>
      <c r="S37" s="595" t="s">
        <v>1243</v>
      </c>
      <c r="T37" s="595" t="s">
        <v>1241</v>
      </c>
      <c r="U37" s="595" t="s">
        <v>1241</v>
      </c>
      <c r="V37" s="595" t="s">
        <v>1274</v>
      </c>
      <c r="W37" s="595" t="s">
        <v>1333</v>
      </c>
      <c r="X37" s="595" t="s">
        <v>1282</v>
      </c>
      <c r="Y37" s="595" t="s">
        <v>151</v>
      </c>
      <c r="Z37" s="595" t="s">
        <v>1241</v>
      </c>
      <c r="AA37" s="595" t="s">
        <v>151</v>
      </c>
      <c r="AB37" s="594">
        <v>10082998</v>
      </c>
    </row>
    <row r="38" spans="1:28" x14ac:dyDescent="0.25">
      <c r="A38" s="25" t="str">
        <f t="shared" si="0"/>
        <v>City of Derby Academy</v>
      </c>
      <c r="B38" s="594">
        <v>145132</v>
      </c>
      <c r="C38" s="595" t="s">
        <v>1233</v>
      </c>
      <c r="D38" s="595" t="s">
        <v>1234</v>
      </c>
      <c r="E38" s="594">
        <v>4008</v>
      </c>
      <c r="F38" s="595" t="s">
        <v>142</v>
      </c>
      <c r="G38" s="595" t="s">
        <v>1272</v>
      </c>
      <c r="H38" s="595" t="s">
        <v>1237</v>
      </c>
      <c r="I38" s="595" t="s">
        <v>1315</v>
      </c>
      <c r="J38" s="595" t="s">
        <v>151</v>
      </c>
      <c r="K38" s="595" t="s">
        <v>199</v>
      </c>
      <c r="L38" s="594">
        <v>11</v>
      </c>
      <c r="M38" s="594">
        <v>16</v>
      </c>
      <c r="N38" s="595" t="s">
        <v>1239</v>
      </c>
      <c r="O38" s="595" t="s">
        <v>1258</v>
      </c>
      <c r="P38" s="595" t="s">
        <v>1257</v>
      </c>
      <c r="Q38" s="595" t="s">
        <v>1242</v>
      </c>
      <c r="R38" s="595" t="s">
        <v>1265</v>
      </c>
      <c r="S38" s="595" t="s">
        <v>1265</v>
      </c>
      <c r="T38" s="595" t="s">
        <v>151</v>
      </c>
      <c r="U38" s="595" t="s">
        <v>151</v>
      </c>
      <c r="V38" s="595" t="s">
        <v>1274</v>
      </c>
      <c r="W38" s="595" t="s">
        <v>1318</v>
      </c>
      <c r="X38" s="595" t="s">
        <v>1276</v>
      </c>
      <c r="Y38" s="595" t="s">
        <v>1318</v>
      </c>
      <c r="Z38" s="595" t="s">
        <v>1241</v>
      </c>
      <c r="AA38" s="595" t="s">
        <v>151</v>
      </c>
      <c r="AB38" s="594">
        <v>10065201</v>
      </c>
    </row>
    <row r="39" spans="1:28" x14ac:dyDescent="0.25">
      <c r="A39" s="25" t="str">
        <f t="shared" si="0"/>
        <v>Cottons Farm Primary Academy</v>
      </c>
      <c r="B39" s="594">
        <v>145982</v>
      </c>
      <c r="C39" s="595" t="s">
        <v>1233</v>
      </c>
      <c r="D39" s="595" t="s">
        <v>1234</v>
      </c>
      <c r="E39" s="594">
        <v>2023</v>
      </c>
      <c r="F39" s="595" t="s">
        <v>106</v>
      </c>
      <c r="G39" s="595" t="s">
        <v>1272</v>
      </c>
      <c r="H39" s="595" t="s">
        <v>1237</v>
      </c>
      <c r="I39" s="595" t="s">
        <v>1322</v>
      </c>
      <c r="J39" s="595" t="s">
        <v>151</v>
      </c>
      <c r="K39" s="595" t="s">
        <v>267</v>
      </c>
      <c r="L39" s="594">
        <v>3</v>
      </c>
      <c r="M39" s="594">
        <v>11</v>
      </c>
      <c r="N39" s="595" t="s">
        <v>1239</v>
      </c>
      <c r="O39" s="595" t="s">
        <v>1240</v>
      </c>
      <c r="P39" s="595" t="s">
        <v>1257</v>
      </c>
      <c r="Q39" s="595" t="s">
        <v>1242</v>
      </c>
      <c r="R39" s="595" t="s">
        <v>1243</v>
      </c>
      <c r="S39" s="595" t="s">
        <v>1243</v>
      </c>
      <c r="T39" s="595" t="s">
        <v>1241</v>
      </c>
      <c r="U39" s="595" t="s">
        <v>1241</v>
      </c>
      <c r="V39" s="595" t="s">
        <v>1274</v>
      </c>
      <c r="W39" s="595" t="s">
        <v>1316</v>
      </c>
      <c r="X39" s="595" t="s">
        <v>1276</v>
      </c>
      <c r="Y39" s="595" t="s">
        <v>1317</v>
      </c>
      <c r="Z39" s="595" t="s">
        <v>1241</v>
      </c>
      <c r="AA39" s="595" t="s">
        <v>151</v>
      </c>
      <c r="AB39" s="594">
        <v>10068288</v>
      </c>
    </row>
    <row r="40" spans="1:28" x14ac:dyDescent="0.25">
      <c r="A40" s="25" t="str">
        <f t="shared" si="0"/>
        <v>Da Vinci Academy</v>
      </c>
      <c r="B40" s="594">
        <v>144066</v>
      </c>
      <c r="C40" s="595" t="s">
        <v>1233</v>
      </c>
      <c r="D40" s="595" t="s">
        <v>1234</v>
      </c>
      <c r="E40" s="594">
        <v>4007</v>
      </c>
      <c r="F40" s="595" t="s">
        <v>141</v>
      </c>
      <c r="G40" s="595" t="s">
        <v>1272</v>
      </c>
      <c r="H40" s="595" t="s">
        <v>1237</v>
      </c>
      <c r="I40" s="595" t="s">
        <v>1311</v>
      </c>
      <c r="J40" s="595" t="s">
        <v>151</v>
      </c>
      <c r="K40" s="595" t="s">
        <v>199</v>
      </c>
      <c r="L40" s="594">
        <v>11</v>
      </c>
      <c r="M40" s="594">
        <v>16</v>
      </c>
      <c r="N40" s="595" t="s">
        <v>1239</v>
      </c>
      <c r="O40" s="595" t="s">
        <v>1258</v>
      </c>
      <c r="P40" s="595" t="s">
        <v>1257</v>
      </c>
      <c r="Q40" s="595" t="s">
        <v>1242</v>
      </c>
      <c r="R40" s="595" t="s">
        <v>1265</v>
      </c>
      <c r="S40" s="595" t="s">
        <v>1243</v>
      </c>
      <c r="T40" s="595" t="s">
        <v>1241</v>
      </c>
      <c r="U40" s="595" t="s">
        <v>1266</v>
      </c>
      <c r="V40" s="595" t="s">
        <v>1274</v>
      </c>
      <c r="W40" s="595" t="s">
        <v>1306</v>
      </c>
      <c r="X40" s="595" t="s">
        <v>1276</v>
      </c>
      <c r="Y40" s="595" t="s">
        <v>1307</v>
      </c>
      <c r="Z40" s="595" t="s">
        <v>1241</v>
      </c>
      <c r="AA40" s="595" t="s">
        <v>151</v>
      </c>
      <c r="AB40" s="594">
        <v>10063123</v>
      </c>
    </row>
    <row r="41" spans="1:28" x14ac:dyDescent="0.25">
      <c r="A41" s="25" t="str">
        <f t="shared" si="0"/>
        <v>Dale Community Primary School</v>
      </c>
      <c r="B41" s="594">
        <v>112720</v>
      </c>
      <c r="C41" s="595" t="s">
        <v>1233</v>
      </c>
      <c r="D41" s="595" t="s">
        <v>1234</v>
      </c>
      <c r="E41" s="594">
        <v>2409</v>
      </c>
      <c r="F41" s="595" t="s">
        <v>66</v>
      </c>
      <c r="G41" s="595" t="s">
        <v>1256</v>
      </c>
      <c r="H41" s="595" t="s">
        <v>1237</v>
      </c>
      <c r="I41" s="595" t="s">
        <v>151</v>
      </c>
      <c r="J41" s="595" t="s">
        <v>151</v>
      </c>
      <c r="K41" s="595" t="s">
        <v>267</v>
      </c>
      <c r="L41" s="594">
        <v>5</v>
      </c>
      <c r="M41" s="594">
        <v>11</v>
      </c>
      <c r="N41" s="595" t="s">
        <v>1239</v>
      </c>
      <c r="O41" s="595" t="s">
        <v>1258</v>
      </c>
      <c r="P41" s="595" t="s">
        <v>1257</v>
      </c>
      <c r="Q41" s="595" t="s">
        <v>1242</v>
      </c>
      <c r="R41" s="595" t="s">
        <v>1243</v>
      </c>
      <c r="S41" s="595" t="s">
        <v>1243</v>
      </c>
      <c r="T41" s="595" t="s">
        <v>1241</v>
      </c>
      <c r="U41" s="595" t="s">
        <v>1241</v>
      </c>
      <c r="V41" s="595" t="s">
        <v>1241</v>
      </c>
      <c r="W41" s="595" t="s">
        <v>151</v>
      </c>
      <c r="X41" s="595" t="s">
        <v>1241</v>
      </c>
      <c r="Y41" s="595" t="s">
        <v>151</v>
      </c>
      <c r="Z41" s="595" t="s">
        <v>1244</v>
      </c>
      <c r="AA41" s="595" t="s">
        <v>151</v>
      </c>
      <c r="AB41" s="594">
        <v>10073284</v>
      </c>
    </row>
    <row r="42" spans="1:28" x14ac:dyDescent="0.25">
      <c r="A42" s="25" t="str">
        <f t="shared" si="0"/>
        <v>Derby Cathedral School</v>
      </c>
      <c r="B42" s="594">
        <v>143734</v>
      </c>
      <c r="C42" s="595" t="s">
        <v>1233</v>
      </c>
      <c r="D42" s="595" t="s">
        <v>1234</v>
      </c>
      <c r="E42" s="594">
        <v>4004</v>
      </c>
      <c r="F42" s="595" t="s">
        <v>138</v>
      </c>
      <c r="G42" s="595" t="s">
        <v>1291</v>
      </c>
      <c r="H42" s="595" t="s">
        <v>1237</v>
      </c>
      <c r="I42" s="595" t="s">
        <v>1304</v>
      </c>
      <c r="J42" s="595" t="s">
        <v>151</v>
      </c>
      <c r="K42" s="595" t="s">
        <v>199</v>
      </c>
      <c r="L42" s="594">
        <v>11</v>
      </c>
      <c r="M42" s="594">
        <v>19</v>
      </c>
      <c r="N42" s="595" t="s">
        <v>1241</v>
      </c>
      <c r="O42" s="595" t="s">
        <v>1258</v>
      </c>
      <c r="P42" s="595" t="s">
        <v>1264</v>
      </c>
      <c r="Q42" s="595" t="s">
        <v>1242</v>
      </c>
      <c r="R42" s="595" t="s">
        <v>1261</v>
      </c>
      <c r="S42" s="595" t="s">
        <v>1261</v>
      </c>
      <c r="T42" s="595" t="s">
        <v>1262</v>
      </c>
      <c r="U42" s="595" t="s">
        <v>151</v>
      </c>
      <c r="V42" s="595" t="s">
        <v>1274</v>
      </c>
      <c r="W42" s="595" t="s">
        <v>1299</v>
      </c>
      <c r="X42" s="595" t="s">
        <v>1276</v>
      </c>
      <c r="Y42" s="595" t="s">
        <v>1300</v>
      </c>
      <c r="Z42" s="595" t="s">
        <v>1241</v>
      </c>
      <c r="AA42" s="595" t="s">
        <v>151</v>
      </c>
      <c r="AB42" s="594">
        <v>10068102</v>
      </c>
    </row>
    <row r="43" spans="1:28" x14ac:dyDescent="0.25">
      <c r="A43" s="25" t="str">
        <f t="shared" si="0"/>
        <v>Derby Moor Spencer Academy</v>
      </c>
      <c r="B43" s="594">
        <v>145327</v>
      </c>
      <c r="C43" s="595" t="s">
        <v>1233</v>
      </c>
      <c r="D43" s="595" t="s">
        <v>1234</v>
      </c>
      <c r="E43" s="594">
        <v>4178</v>
      </c>
      <c r="F43" s="595" t="s">
        <v>146</v>
      </c>
      <c r="G43" s="595" t="s">
        <v>1278</v>
      </c>
      <c r="H43" s="595" t="s">
        <v>1237</v>
      </c>
      <c r="I43" s="595" t="s">
        <v>1302</v>
      </c>
      <c r="J43" s="595" t="s">
        <v>151</v>
      </c>
      <c r="K43" s="595" t="s">
        <v>199</v>
      </c>
      <c r="L43" s="594">
        <v>11</v>
      </c>
      <c r="M43" s="594">
        <v>18</v>
      </c>
      <c r="N43" s="595" t="s">
        <v>1239</v>
      </c>
      <c r="O43" s="595" t="s">
        <v>1258</v>
      </c>
      <c r="P43" s="595" t="s">
        <v>1264</v>
      </c>
      <c r="Q43" s="595" t="s">
        <v>1242</v>
      </c>
      <c r="R43" s="595" t="s">
        <v>1265</v>
      </c>
      <c r="S43" s="595" t="s">
        <v>1243</v>
      </c>
      <c r="T43" s="595" t="s">
        <v>1241</v>
      </c>
      <c r="U43" s="595" t="s">
        <v>1266</v>
      </c>
      <c r="V43" s="595" t="s">
        <v>1274</v>
      </c>
      <c r="W43" s="595" t="s">
        <v>1285</v>
      </c>
      <c r="X43" s="595" t="s">
        <v>1276</v>
      </c>
      <c r="Y43" s="595" t="s">
        <v>1286</v>
      </c>
      <c r="Z43" s="595" t="s">
        <v>1241</v>
      </c>
      <c r="AA43" s="595" t="s">
        <v>151</v>
      </c>
      <c r="AB43" s="594">
        <v>10066363</v>
      </c>
    </row>
    <row r="44" spans="1:28" x14ac:dyDescent="0.25">
      <c r="A44" s="25" t="str">
        <f t="shared" si="0"/>
        <v>Derby St Chad's CofE Nursery and Infant School</v>
      </c>
      <c r="B44" s="594">
        <v>146575</v>
      </c>
      <c r="C44" s="595" t="s">
        <v>1233</v>
      </c>
      <c r="D44" s="595" t="s">
        <v>1234</v>
      </c>
      <c r="E44" s="594">
        <v>3158</v>
      </c>
      <c r="F44" s="595" t="s">
        <v>125</v>
      </c>
      <c r="G44" s="595" t="s">
        <v>1278</v>
      </c>
      <c r="H44" s="595" t="s">
        <v>1237</v>
      </c>
      <c r="I44" s="595" t="s">
        <v>1326</v>
      </c>
      <c r="J44" s="595" t="s">
        <v>151</v>
      </c>
      <c r="K44" s="595" t="s">
        <v>267</v>
      </c>
      <c r="L44" s="594">
        <v>2</v>
      </c>
      <c r="M44" s="594">
        <v>7</v>
      </c>
      <c r="N44" s="595" t="s">
        <v>1239</v>
      </c>
      <c r="O44" s="595" t="s">
        <v>1240</v>
      </c>
      <c r="P44" s="595" t="s">
        <v>1257</v>
      </c>
      <c r="Q44" s="595" t="s">
        <v>1242</v>
      </c>
      <c r="R44" s="595" t="s">
        <v>1261</v>
      </c>
      <c r="S44" s="595" t="s">
        <v>1243</v>
      </c>
      <c r="T44" s="595" t="s">
        <v>1262</v>
      </c>
      <c r="U44" s="595" t="s">
        <v>1241</v>
      </c>
      <c r="V44" s="595" t="s">
        <v>1274</v>
      </c>
      <c r="W44" s="595" t="s">
        <v>1299</v>
      </c>
      <c r="X44" s="595" t="s">
        <v>1276</v>
      </c>
      <c r="Y44" s="595" t="s">
        <v>1300</v>
      </c>
      <c r="Z44" s="595" t="s">
        <v>1241</v>
      </c>
      <c r="AA44" s="595" t="s">
        <v>151</v>
      </c>
      <c r="AB44" s="594">
        <v>10082231</v>
      </c>
    </row>
    <row r="45" spans="1:28" x14ac:dyDescent="0.25">
      <c r="A45" s="25" t="str">
        <f t="shared" si="0"/>
        <v>Derwent Primary School</v>
      </c>
      <c r="B45" s="594">
        <v>144343</v>
      </c>
      <c r="C45" s="595" t="s">
        <v>1233</v>
      </c>
      <c r="D45" s="595" t="s">
        <v>1234</v>
      </c>
      <c r="E45" s="594">
        <v>2016</v>
      </c>
      <c r="F45" s="595" t="s">
        <v>99</v>
      </c>
      <c r="G45" s="595" t="s">
        <v>1272</v>
      </c>
      <c r="H45" s="595" t="s">
        <v>1237</v>
      </c>
      <c r="I45" s="595" t="s">
        <v>1312</v>
      </c>
      <c r="J45" s="595" t="s">
        <v>151</v>
      </c>
      <c r="K45" s="595" t="s">
        <v>267</v>
      </c>
      <c r="L45" s="594">
        <v>3</v>
      </c>
      <c r="M45" s="594">
        <v>11</v>
      </c>
      <c r="N45" s="595" t="s">
        <v>1239</v>
      </c>
      <c r="O45" s="595" t="s">
        <v>1240</v>
      </c>
      <c r="P45" s="595" t="s">
        <v>1257</v>
      </c>
      <c r="Q45" s="595" t="s">
        <v>1242</v>
      </c>
      <c r="R45" s="595" t="s">
        <v>1243</v>
      </c>
      <c r="S45" s="595" t="s">
        <v>151</v>
      </c>
      <c r="T45" s="595" t="s">
        <v>1241</v>
      </c>
      <c r="U45" s="595" t="s">
        <v>1241</v>
      </c>
      <c r="V45" s="595" t="s">
        <v>1274</v>
      </c>
      <c r="W45" s="595" t="s">
        <v>1313</v>
      </c>
      <c r="X45" s="595" t="s">
        <v>1282</v>
      </c>
      <c r="Y45" s="595" t="s">
        <v>151</v>
      </c>
      <c r="Z45" s="595" t="s">
        <v>1241</v>
      </c>
      <c r="AA45" s="595" t="s">
        <v>151</v>
      </c>
      <c r="AB45" s="594">
        <v>10063398</v>
      </c>
    </row>
    <row r="46" spans="1:28" x14ac:dyDescent="0.25">
      <c r="A46" s="25" t="str">
        <f t="shared" si="0"/>
        <v>Firs Primary School</v>
      </c>
      <c r="B46" s="594">
        <v>142041</v>
      </c>
      <c r="C46" s="595" t="s">
        <v>1233</v>
      </c>
      <c r="D46" s="595" t="s">
        <v>1234</v>
      </c>
      <c r="E46" s="594">
        <v>2013</v>
      </c>
      <c r="F46" s="595" t="s">
        <v>97</v>
      </c>
      <c r="G46" s="595" t="s">
        <v>1272</v>
      </c>
      <c r="H46" s="595" t="s">
        <v>1237</v>
      </c>
      <c r="I46" s="595" t="s">
        <v>1302</v>
      </c>
      <c r="J46" s="595" t="s">
        <v>151</v>
      </c>
      <c r="K46" s="595" t="s">
        <v>267</v>
      </c>
      <c r="L46" s="594">
        <v>3</v>
      </c>
      <c r="M46" s="594">
        <v>11</v>
      </c>
      <c r="N46" s="595" t="s">
        <v>1239</v>
      </c>
      <c r="O46" s="595" t="s">
        <v>1240</v>
      </c>
      <c r="P46" s="595" t="s">
        <v>1257</v>
      </c>
      <c r="Q46" s="595" t="s">
        <v>1242</v>
      </c>
      <c r="R46" s="595" t="s">
        <v>1243</v>
      </c>
      <c r="S46" s="595" t="s">
        <v>1265</v>
      </c>
      <c r="T46" s="595" t="s">
        <v>1241</v>
      </c>
      <c r="U46" s="595" t="s">
        <v>1241</v>
      </c>
      <c r="V46" s="595" t="s">
        <v>1274</v>
      </c>
      <c r="W46" s="595" t="s">
        <v>1299</v>
      </c>
      <c r="X46" s="595" t="s">
        <v>1276</v>
      </c>
      <c r="Y46" s="595" t="s">
        <v>1300</v>
      </c>
      <c r="Z46" s="595" t="s">
        <v>1241</v>
      </c>
      <c r="AA46" s="595" t="s">
        <v>151</v>
      </c>
      <c r="AB46" s="594">
        <v>10049664</v>
      </c>
    </row>
    <row r="47" spans="1:28" x14ac:dyDescent="0.25">
      <c r="A47" s="25" t="str">
        <f t="shared" si="0"/>
        <v>Gayton Junior School</v>
      </c>
      <c r="B47" s="594">
        <v>112756</v>
      </c>
      <c r="C47" s="595" t="s">
        <v>1233</v>
      </c>
      <c r="D47" s="595" t="s">
        <v>1234</v>
      </c>
      <c r="E47" s="594">
        <v>2457</v>
      </c>
      <c r="F47" s="595" t="s">
        <v>75</v>
      </c>
      <c r="G47" s="595" t="s">
        <v>1256</v>
      </c>
      <c r="H47" s="595" t="s">
        <v>1237</v>
      </c>
      <c r="I47" s="595" t="s">
        <v>151</v>
      </c>
      <c r="J47" s="595" t="s">
        <v>151</v>
      </c>
      <c r="K47" s="595" t="s">
        <v>267</v>
      </c>
      <c r="L47" s="594">
        <v>7</v>
      </c>
      <c r="M47" s="594">
        <v>11</v>
      </c>
      <c r="N47" s="595" t="s">
        <v>1239</v>
      </c>
      <c r="O47" s="595" t="s">
        <v>1258</v>
      </c>
      <c r="P47" s="595" t="s">
        <v>1257</v>
      </c>
      <c r="Q47" s="595" t="s">
        <v>1242</v>
      </c>
      <c r="R47" s="595" t="s">
        <v>1243</v>
      </c>
      <c r="S47" s="595" t="s">
        <v>1243</v>
      </c>
      <c r="T47" s="595" t="s">
        <v>1241</v>
      </c>
      <c r="U47" s="595" t="s">
        <v>1241</v>
      </c>
      <c r="V47" s="595" t="s">
        <v>1241</v>
      </c>
      <c r="W47" s="595" t="s">
        <v>151</v>
      </c>
      <c r="X47" s="595" t="s">
        <v>1241</v>
      </c>
      <c r="Y47" s="595" t="s">
        <v>151</v>
      </c>
      <c r="Z47" s="595" t="s">
        <v>1244</v>
      </c>
      <c r="AA47" s="595" t="s">
        <v>151</v>
      </c>
      <c r="AB47" s="594">
        <v>10070670</v>
      </c>
    </row>
    <row r="48" spans="1:28" x14ac:dyDescent="0.25">
      <c r="A48" s="25" t="str">
        <f t="shared" si="0"/>
        <v>Grampian Primary Academy</v>
      </c>
      <c r="B48" s="594">
        <v>138992</v>
      </c>
      <c r="C48" s="595" t="s">
        <v>1233</v>
      </c>
      <c r="D48" s="595" t="s">
        <v>1234</v>
      </c>
      <c r="E48" s="594">
        <v>2010</v>
      </c>
      <c r="F48" s="595" t="s">
        <v>94</v>
      </c>
      <c r="G48" s="595" t="s">
        <v>1272</v>
      </c>
      <c r="H48" s="595" t="s">
        <v>1237</v>
      </c>
      <c r="I48" s="595" t="s">
        <v>1295</v>
      </c>
      <c r="J48" s="595" t="s">
        <v>151</v>
      </c>
      <c r="K48" s="595" t="s">
        <v>267</v>
      </c>
      <c r="L48" s="594">
        <v>3</v>
      </c>
      <c r="M48" s="594">
        <v>11</v>
      </c>
      <c r="N48" s="595" t="s">
        <v>1239</v>
      </c>
      <c r="O48" s="595" t="s">
        <v>1240</v>
      </c>
      <c r="P48" s="595" t="s">
        <v>1257</v>
      </c>
      <c r="Q48" s="595" t="s">
        <v>1242</v>
      </c>
      <c r="R48" s="595" t="s">
        <v>1243</v>
      </c>
      <c r="S48" s="595" t="s">
        <v>1265</v>
      </c>
      <c r="T48" s="595" t="s">
        <v>1241</v>
      </c>
      <c r="U48" s="595" t="s">
        <v>1241</v>
      </c>
      <c r="V48" s="595" t="s">
        <v>1274</v>
      </c>
      <c r="W48" s="595" t="s">
        <v>1296</v>
      </c>
      <c r="X48" s="595" t="s">
        <v>1276</v>
      </c>
      <c r="Y48" s="595" t="s">
        <v>1297</v>
      </c>
      <c r="Z48" s="595" t="s">
        <v>1241</v>
      </c>
      <c r="AA48" s="595" t="s">
        <v>151</v>
      </c>
      <c r="AB48" s="594">
        <v>10039569</v>
      </c>
    </row>
    <row r="49" spans="1:28" x14ac:dyDescent="0.25">
      <c r="A49" s="25" t="str">
        <f t="shared" si="0"/>
        <v>Griffe Field Primary School</v>
      </c>
      <c r="B49" s="594">
        <v>146579</v>
      </c>
      <c r="C49" s="595" t="s">
        <v>1233</v>
      </c>
      <c r="D49" s="595" t="s">
        <v>1234</v>
      </c>
      <c r="E49" s="594">
        <v>2002</v>
      </c>
      <c r="F49" s="595" t="s">
        <v>88</v>
      </c>
      <c r="G49" s="595" t="s">
        <v>1278</v>
      </c>
      <c r="H49" s="595" t="s">
        <v>1237</v>
      </c>
      <c r="I49" s="595" t="s">
        <v>1326</v>
      </c>
      <c r="J49" s="595" t="s">
        <v>151</v>
      </c>
      <c r="K49" s="595" t="s">
        <v>267</v>
      </c>
      <c r="L49" s="594">
        <v>3</v>
      </c>
      <c r="M49" s="594">
        <v>11</v>
      </c>
      <c r="N49" s="595" t="s">
        <v>1239</v>
      </c>
      <c r="O49" s="595" t="s">
        <v>1240</v>
      </c>
      <c r="P49" s="595" t="s">
        <v>1257</v>
      </c>
      <c r="Q49" s="595" t="s">
        <v>1242</v>
      </c>
      <c r="R49" s="595" t="s">
        <v>1243</v>
      </c>
      <c r="S49" s="595" t="s">
        <v>1243</v>
      </c>
      <c r="T49" s="595" t="s">
        <v>1241</v>
      </c>
      <c r="U49" s="595" t="s">
        <v>1241</v>
      </c>
      <c r="V49" s="595" t="s">
        <v>1274</v>
      </c>
      <c r="W49" s="595" t="s">
        <v>1299</v>
      </c>
      <c r="X49" s="595" t="s">
        <v>1276</v>
      </c>
      <c r="Y49" s="595" t="s">
        <v>1300</v>
      </c>
      <c r="Z49" s="595" t="s">
        <v>1241</v>
      </c>
      <c r="AA49" s="595" t="s">
        <v>151</v>
      </c>
      <c r="AB49" s="594">
        <v>10082224</v>
      </c>
    </row>
    <row r="50" spans="1:28" x14ac:dyDescent="0.25">
      <c r="A50" s="25" t="str">
        <f t="shared" si="0"/>
        <v>Hackwood Primary Academy</v>
      </c>
      <c r="B50" s="594">
        <v>147307</v>
      </c>
      <c r="C50" s="595" t="s">
        <v>1233</v>
      </c>
      <c r="D50" s="595" t="s">
        <v>1234</v>
      </c>
      <c r="E50" s="594">
        <v>2024</v>
      </c>
      <c r="F50" s="595" t="s">
        <v>107</v>
      </c>
      <c r="G50" s="595" t="s">
        <v>1291</v>
      </c>
      <c r="H50" s="595" t="s">
        <v>1237</v>
      </c>
      <c r="I50" s="595" t="s">
        <v>1338</v>
      </c>
      <c r="J50" s="595" t="s">
        <v>151</v>
      </c>
      <c r="K50" s="595" t="s">
        <v>267</v>
      </c>
      <c r="L50" s="594">
        <v>3</v>
      </c>
      <c r="M50" s="594">
        <v>11</v>
      </c>
      <c r="N50" s="595" t="s">
        <v>1239</v>
      </c>
      <c r="O50" s="595" t="s">
        <v>1240</v>
      </c>
      <c r="P50" s="595" t="s">
        <v>1257</v>
      </c>
      <c r="Q50" s="595" t="s">
        <v>1242</v>
      </c>
      <c r="R50" s="595" t="s">
        <v>1265</v>
      </c>
      <c r="S50" s="595" t="s">
        <v>1265</v>
      </c>
      <c r="T50" s="595" t="s">
        <v>151</v>
      </c>
      <c r="U50" s="595" t="s">
        <v>1266</v>
      </c>
      <c r="V50" s="595" t="s">
        <v>1274</v>
      </c>
      <c r="W50" s="595" t="s">
        <v>1316</v>
      </c>
      <c r="X50" s="595" t="s">
        <v>1276</v>
      </c>
      <c r="Y50" s="595" t="s">
        <v>1317</v>
      </c>
      <c r="Z50" s="595" t="s">
        <v>1241</v>
      </c>
      <c r="AA50" s="595" t="s">
        <v>151</v>
      </c>
      <c r="AB50" s="594">
        <v>10083747</v>
      </c>
    </row>
    <row r="51" spans="1:28" x14ac:dyDescent="0.25">
      <c r="A51" s="25" t="str">
        <f t="shared" si="0"/>
        <v>Hardwick Primary School</v>
      </c>
      <c r="B51" s="594">
        <v>143875</v>
      </c>
      <c r="C51" s="595" t="s">
        <v>1233</v>
      </c>
      <c r="D51" s="595" t="s">
        <v>1234</v>
      </c>
      <c r="E51" s="594">
        <v>3544</v>
      </c>
      <c r="F51" s="595" t="s">
        <v>133</v>
      </c>
      <c r="G51" s="595" t="s">
        <v>1278</v>
      </c>
      <c r="H51" s="595" t="s">
        <v>1237</v>
      </c>
      <c r="I51" s="595" t="s">
        <v>1302</v>
      </c>
      <c r="J51" s="595" t="s">
        <v>151</v>
      </c>
      <c r="K51" s="595" t="s">
        <v>267</v>
      </c>
      <c r="L51" s="594">
        <v>3</v>
      </c>
      <c r="M51" s="594">
        <v>11</v>
      </c>
      <c r="N51" s="595" t="s">
        <v>1239</v>
      </c>
      <c r="O51" s="595" t="s">
        <v>1240</v>
      </c>
      <c r="P51" s="595" t="s">
        <v>1257</v>
      </c>
      <c r="Q51" s="595" t="s">
        <v>1242</v>
      </c>
      <c r="R51" s="595" t="s">
        <v>1243</v>
      </c>
      <c r="S51" s="595" t="s">
        <v>1243</v>
      </c>
      <c r="T51" s="595" t="s">
        <v>1241</v>
      </c>
      <c r="U51" s="595" t="s">
        <v>1241</v>
      </c>
      <c r="V51" s="595" t="s">
        <v>1274</v>
      </c>
      <c r="W51" s="595" t="s">
        <v>1299</v>
      </c>
      <c r="X51" s="595" t="s">
        <v>1276</v>
      </c>
      <c r="Y51" s="595" t="s">
        <v>1300</v>
      </c>
      <c r="Z51" s="595" t="s">
        <v>1241</v>
      </c>
      <c r="AA51" s="595" t="s">
        <v>151</v>
      </c>
      <c r="AB51" s="594">
        <v>10062293</v>
      </c>
    </row>
    <row r="52" spans="1:28" x14ac:dyDescent="0.25">
      <c r="A52" s="25" t="str">
        <f t="shared" si="0"/>
        <v>Harrington Nursery School</v>
      </c>
      <c r="B52" s="594">
        <v>112474</v>
      </c>
      <c r="C52" s="595" t="s">
        <v>1233</v>
      </c>
      <c r="D52" s="595" t="s">
        <v>1234</v>
      </c>
      <c r="E52" s="594">
        <v>1008</v>
      </c>
      <c r="F52" s="595" t="s">
        <v>1248</v>
      </c>
      <c r="G52" s="595" t="s">
        <v>1236</v>
      </c>
      <c r="H52" s="595" t="s">
        <v>1237</v>
      </c>
      <c r="I52" s="595" t="s">
        <v>151</v>
      </c>
      <c r="J52" s="595" t="s">
        <v>151</v>
      </c>
      <c r="K52" s="595" t="s">
        <v>1238</v>
      </c>
      <c r="L52" s="594">
        <v>3</v>
      </c>
      <c r="M52" s="594">
        <v>5</v>
      </c>
      <c r="N52" s="595" t="s">
        <v>1239</v>
      </c>
      <c r="O52" s="595" t="s">
        <v>1240</v>
      </c>
      <c r="P52" s="595" t="s">
        <v>1241</v>
      </c>
      <c r="Q52" s="595" t="s">
        <v>1242</v>
      </c>
      <c r="R52" s="595" t="s">
        <v>1243</v>
      </c>
      <c r="S52" s="595" t="s">
        <v>1243</v>
      </c>
      <c r="T52" s="595" t="s">
        <v>1241</v>
      </c>
      <c r="U52" s="595" t="s">
        <v>1241</v>
      </c>
      <c r="V52" s="595" t="s">
        <v>1241</v>
      </c>
      <c r="W52" s="595" t="s">
        <v>151</v>
      </c>
      <c r="X52" s="595" t="s">
        <v>1241</v>
      </c>
      <c r="Y52" s="595" t="s">
        <v>151</v>
      </c>
      <c r="Z52" s="595" t="s">
        <v>1244</v>
      </c>
      <c r="AA52" s="595" t="s">
        <v>151</v>
      </c>
      <c r="AB52" s="595" t="s">
        <v>151</v>
      </c>
    </row>
    <row r="53" spans="1:28" x14ac:dyDescent="0.25">
      <c r="A53" s="25" t="str">
        <f t="shared" si="0"/>
        <v>Homefields Primary School</v>
      </c>
      <c r="B53" s="594">
        <v>146477</v>
      </c>
      <c r="C53" s="595" t="s">
        <v>1233</v>
      </c>
      <c r="D53" s="595" t="s">
        <v>1234</v>
      </c>
      <c r="E53" s="594">
        <v>2006</v>
      </c>
      <c r="F53" s="595" t="s">
        <v>90</v>
      </c>
      <c r="G53" s="595" t="s">
        <v>1278</v>
      </c>
      <c r="H53" s="595" t="s">
        <v>1237</v>
      </c>
      <c r="I53" s="595" t="s">
        <v>1327</v>
      </c>
      <c r="J53" s="595" t="s">
        <v>151</v>
      </c>
      <c r="K53" s="595" t="s">
        <v>267</v>
      </c>
      <c r="L53" s="594">
        <v>3</v>
      </c>
      <c r="M53" s="594">
        <v>11</v>
      </c>
      <c r="N53" s="595" t="s">
        <v>1239</v>
      </c>
      <c r="O53" s="595" t="s">
        <v>1240</v>
      </c>
      <c r="P53" s="595" t="s">
        <v>1257</v>
      </c>
      <c r="Q53" s="595" t="s">
        <v>1242</v>
      </c>
      <c r="R53" s="595" t="s">
        <v>1243</v>
      </c>
      <c r="S53" s="595" t="s">
        <v>1243</v>
      </c>
      <c r="T53" s="595" t="s">
        <v>1241</v>
      </c>
      <c r="U53" s="595" t="s">
        <v>1266</v>
      </c>
      <c r="V53" s="595" t="s">
        <v>1274</v>
      </c>
      <c r="W53" s="595" t="s">
        <v>1328</v>
      </c>
      <c r="X53" s="595" t="s">
        <v>1276</v>
      </c>
      <c r="Y53" s="595" t="s">
        <v>1329</v>
      </c>
      <c r="Z53" s="595" t="s">
        <v>1241</v>
      </c>
      <c r="AA53" s="595" t="s">
        <v>151</v>
      </c>
      <c r="AB53" s="594">
        <v>10083346</v>
      </c>
    </row>
    <row r="54" spans="1:28" x14ac:dyDescent="0.25">
      <c r="A54" s="25" t="str">
        <f t="shared" si="0"/>
        <v>Lakeside Primary Academy</v>
      </c>
      <c r="B54" s="594">
        <v>146080</v>
      </c>
      <c r="C54" s="595" t="s">
        <v>1233</v>
      </c>
      <c r="D54" s="595" t="s">
        <v>1234</v>
      </c>
      <c r="E54" s="594">
        <v>2022</v>
      </c>
      <c r="F54" s="595" t="s">
        <v>105</v>
      </c>
      <c r="G54" s="595" t="s">
        <v>1272</v>
      </c>
      <c r="H54" s="595" t="s">
        <v>1237</v>
      </c>
      <c r="I54" s="595" t="s">
        <v>1326</v>
      </c>
      <c r="J54" s="595" t="s">
        <v>151</v>
      </c>
      <c r="K54" s="595" t="s">
        <v>267</v>
      </c>
      <c r="L54" s="594">
        <v>3</v>
      </c>
      <c r="M54" s="594">
        <v>11</v>
      </c>
      <c r="N54" s="595" t="s">
        <v>1239</v>
      </c>
      <c r="O54" s="595" t="s">
        <v>1240</v>
      </c>
      <c r="P54" s="595" t="s">
        <v>1257</v>
      </c>
      <c r="Q54" s="595" t="s">
        <v>1242</v>
      </c>
      <c r="R54" s="595" t="s">
        <v>1243</v>
      </c>
      <c r="S54" s="595" t="s">
        <v>1243</v>
      </c>
      <c r="T54" s="595" t="s">
        <v>1241</v>
      </c>
      <c r="U54" s="595" t="s">
        <v>1241</v>
      </c>
      <c r="V54" s="595" t="s">
        <v>1274</v>
      </c>
      <c r="W54" s="595" t="s">
        <v>1316</v>
      </c>
      <c r="X54" s="595" t="s">
        <v>1276</v>
      </c>
      <c r="Y54" s="595" t="s">
        <v>1317</v>
      </c>
      <c r="Z54" s="595" t="s">
        <v>1241</v>
      </c>
      <c r="AA54" s="595" t="s">
        <v>151</v>
      </c>
      <c r="AB54" s="594">
        <v>10068289</v>
      </c>
    </row>
    <row r="55" spans="1:28" x14ac:dyDescent="0.25">
      <c r="A55" s="25" t="str">
        <f t="shared" si="0"/>
        <v>Landau Forte Academy Moorhead</v>
      </c>
      <c r="B55" s="594">
        <v>138790</v>
      </c>
      <c r="C55" s="595" t="s">
        <v>1233</v>
      </c>
      <c r="D55" s="595" t="s">
        <v>1234</v>
      </c>
      <c r="E55" s="594">
        <v>2009</v>
      </c>
      <c r="F55" s="595" t="s">
        <v>93</v>
      </c>
      <c r="G55" s="595" t="s">
        <v>1272</v>
      </c>
      <c r="H55" s="595" t="s">
        <v>1237</v>
      </c>
      <c r="I55" s="595" t="s">
        <v>1284</v>
      </c>
      <c r="J55" s="595" t="s">
        <v>151</v>
      </c>
      <c r="K55" s="595" t="s">
        <v>267</v>
      </c>
      <c r="L55" s="594">
        <v>4</v>
      </c>
      <c r="M55" s="594">
        <v>11</v>
      </c>
      <c r="N55" s="595" t="s">
        <v>1239</v>
      </c>
      <c r="O55" s="595" t="s">
        <v>1241</v>
      </c>
      <c r="P55" s="595" t="s">
        <v>1241</v>
      </c>
      <c r="Q55" s="595" t="s">
        <v>1242</v>
      </c>
      <c r="R55" s="595" t="s">
        <v>1243</v>
      </c>
      <c r="S55" s="595" t="s">
        <v>1265</v>
      </c>
      <c r="T55" s="595" t="s">
        <v>1241</v>
      </c>
      <c r="U55" s="595" t="s">
        <v>1241</v>
      </c>
      <c r="V55" s="595" t="s">
        <v>1274</v>
      </c>
      <c r="W55" s="595" t="s">
        <v>1275</v>
      </c>
      <c r="X55" s="595" t="s">
        <v>1276</v>
      </c>
      <c r="Y55" s="595" t="s">
        <v>1277</v>
      </c>
      <c r="Z55" s="595" t="s">
        <v>1241</v>
      </c>
      <c r="AA55" s="595" t="s">
        <v>151</v>
      </c>
      <c r="AB55" s="594">
        <v>10038862</v>
      </c>
    </row>
    <row r="56" spans="1:28" x14ac:dyDescent="0.25">
      <c r="A56" s="25" t="str">
        <f t="shared" si="0"/>
        <v>Landau Forte College</v>
      </c>
      <c r="B56" s="594">
        <v>135120</v>
      </c>
      <c r="C56" s="595" t="s">
        <v>1233</v>
      </c>
      <c r="D56" s="595" t="s">
        <v>1234</v>
      </c>
      <c r="E56" s="594">
        <v>6905</v>
      </c>
      <c r="F56" s="595" t="s">
        <v>150</v>
      </c>
      <c r="G56" s="595" t="s">
        <v>1272</v>
      </c>
      <c r="H56" s="595" t="s">
        <v>1237</v>
      </c>
      <c r="I56" s="595" t="s">
        <v>1273</v>
      </c>
      <c r="J56" s="595" t="s">
        <v>151</v>
      </c>
      <c r="K56" s="595" t="s">
        <v>199</v>
      </c>
      <c r="L56" s="594">
        <v>11</v>
      </c>
      <c r="M56" s="594">
        <v>19</v>
      </c>
      <c r="N56" s="595" t="s">
        <v>1239</v>
      </c>
      <c r="O56" s="595" t="s">
        <v>1241</v>
      </c>
      <c r="P56" s="595" t="s">
        <v>1264</v>
      </c>
      <c r="Q56" s="595" t="s">
        <v>1242</v>
      </c>
      <c r="R56" s="595" t="s">
        <v>1243</v>
      </c>
      <c r="S56" s="595" t="s">
        <v>1265</v>
      </c>
      <c r="T56" s="595" t="s">
        <v>1241</v>
      </c>
      <c r="U56" s="595" t="s">
        <v>1266</v>
      </c>
      <c r="V56" s="595" t="s">
        <v>1274</v>
      </c>
      <c r="W56" s="595" t="s">
        <v>1275</v>
      </c>
      <c r="X56" s="595" t="s">
        <v>1276</v>
      </c>
      <c r="Y56" s="595" t="s">
        <v>1277</v>
      </c>
      <c r="Z56" s="595" t="s">
        <v>1241</v>
      </c>
      <c r="AA56" s="595" t="s">
        <v>151</v>
      </c>
      <c r="AB56" s="594">
        <v>10018562</v>
      </c>
    </row>
    <row r="57" spans="1:28" x14ac:dyDescent="0.25">
      <c r="A57" s="25" t="str">
        <f t="shared" si="0"/>
        <v>Lawn Primary School</v>
      </c>
      <c r="B57" s="594">
        <v>147624</v>
      </c>
      <c r="C57" s="595" t="s">
        <v>1233</v>
      </c>
      <c r="D57" s="595" t="s">
        <v>1234</v>
      </c>
      <c r="E57" s="594">
        <v>2522</v>
      </c>
      <c r="F57" s="595" t="s">
        <v>123</v>
      </c>
      <c r="G57" s="595" t="s">
        <v>1278</v>
      </c>
      <c r="H57" s="595" t="s">
        <v>1237</v>
      </c>
      <c r="I57" s="595" t="s">
        <v>1340</v>
      </c>
      <c r="J57" s="595" t="s">
        <v>151</v>
      </c>
      <c r="K57" s="595" t="s">
        <v>267</v>
      </c>
      <c r="L57" s="594">
        <v>4</v>
      </c>
      <c r="M57" s="594">
        <v>11</v>
      </c>
      <c r="N57" s="595" t="s">
        <v>1239</v>
      </c>
      <c r="O57" s="595" t="s">
        <v>1258</v>
      </c>
      <c r="P57" s="595" t="s">
        <v>1257</v>
      </c>
      <c r="Q57" s="595" t="s">
        <v>1242</v>
      </c>
      <c r="R57" s="595" t="s">
        <v>1243</v>
      </c>
      <c r="S57" s="595" t="s">
        <v>1243</v>
      </c>
      <c r="T57" s="595" t="s">
        <v>1241</v>
      </c>
      <c r="U57" s="595" t="s">
        <v>1241</v>
      </c>
      <c r="V57" s="595" t="s">
        <v>1274</v>
      </c>
      <c r="W57" s="595" t="s">
        <v>1293</v>
      </c>
      <c r="X57" s="595" t="s">
        <v>1276</v>
      </c>
      <c r="Y57" s="595" t="s">
        <v>1294</v>
      </c>
      <c r="Z57" s="595" t="s">
        <v>1241</v>
      </c>
      <c r="AA57" s="595" t="s">
        <v>151</v>
      </c>
      <c r="AB57" s="594">
        <v>10085001</v>
      </c>
    </row>
    <row r="58" spans="1:28" x14ac:dyDescent="0.25">
      <c r="A58" s="25" t="str">
        <f t="shared" si="0"/>
        <v>Lees Brook Academy</v>
      </c>
      <c r="B58" s="594">
        <v>143934</v>
      </c>
      <c r="C58" s="595" t="s">
        <v>1233</v>
      </c>
      <c r="D58" s="595" t="s">
        <v>1234</v>
      </c>
      <c r="E58" s="594">
        <v>4006</v>
      </c>
      <c r="F58" s="595" t="s">
        <v>140</v>
      </c>
      <c r="G58" s="595" t="s">
        <v>1278</v>
      </c>
      <c r="H58" s="595" t="s">
        <v>1237</v>
      </c>
      <c r="I58" s="595" t="s">
        <v>1308</v>
      </c>
      <c r="J58" s="595" t="s">
        <v>151</v>
      </c>
      <c r="K58" s="595" t="s">
        <v>199</v>
      </c>
      <c r="L58" s="594">
        <v>11</v>
      </c>
      <c r="M58" s="594">
        <v>18</v>
      </c>
      <c r="N58" s="595" t="s">
        <v>1241</v>
      </c>
      <c r="O58" s="595" t="s">
        <v>1241</v>
      </c>
      <c r="P58" s="595" t="s">
        <v>1264</v>
      </c>
      <c r="Q58" s="595" t="s">
        <v>1242</v>
      </c>
      <c r="R58" s="595" t="s">
        <v>1265</v>
      </c>
      <c r="S58" s="595" t="s">
        <v>1243</v>
      </c>
      <c r="T58" s="595" t="s">
        <v>151</v>
      </c>
      <c r="U58" s="595" t="s">
        <v>151</v>
      </c>
      <c r="V58" s="595" t="s">
        <v>1274</v>
      </c>
      <c r="W58" s="595" t="s">
        <v>1309</v>
      </c>
      <c r="X58" s="595" t="s">
        <v>1276</v>
      </c>
      <c r="Y58" s="595" t="s">
        <v>1310</v>
      </c>
      <c r="Z58" s="595" t="s">
        <v>1241</v>
      </c>
      <c r="AA58" s="595" t="s">
        <v>151</v>
      </c>
      <c r="AB58" s="594">
        <v>10062354</v>
      </c>
    </row>
    <row r="59" spans="1:28" x14ac:dyDescent="0.25">
      <c r="A59" s="25" t="str">
        <f t="shared" si="0"/>
        <v>Littleover Community School</v>
      </c>
      <c r="B59" s="594">
        <v>112956</v>
      </c>
      <c r="C59" s="595" t="s">
        <v>1233</v>
      </c>
      <c r="D59" s="595" t="s">
        <v>1234</v>
      </c>
      <c r="E59" s="594">
        <v>4182</v>
      </c>
      <c r="F59" s="595" t="s">
        <v>85</v>
      </c>
      <c r="G59" s="595" t="s">
        <v>1256</v>
      </c>
      <c r="H59" s="595" t="s">
        <v>1237</v>
      </c>
      <c r="I59" s="595" t="s">
        <v>151</v>
      </c>
      <c r="J59" s="595" t="s">
        <v>151</v>
      </c>
      <c r="K59" s="595" t="s">
        <v>199</v>
      </c>
      <c r="L59" s="594">
        <v>11</v>
      </c>
      <c r="M59" s="594">
        <v>18</v>
      </c>
      <c r="N59" s="595" t="s">
        <v>1239</v>
      </c>
      <c r="O59" s="595" t="s">
        <v>1258</v>
      </c>
      <c r="P59" s="595" t="s">
        <v>1264</v>
      </c>
      <c r="Q59" s="595" t="s">
        <v>1242</v>
      </c>
      <c r="R59" s="595" t="s">
        <v>1243</v>
      </c>
      <c r="S59" s="595" t="s">
        <v>1243</v>
      </c>
      <c r="T59" s="595" t="s">
        <v>1241</v>
      </c>
      <c r="U59" s="595" t="s">
        <v>1266</v>
      </c>
      <c r="V59" s="595" t="s">
        <v>1241</v>
      </c>
      <c r="W59" s="595" t="s">
        <v>151</v>
      </c>
      <c r="X59" s="595" t="s">
        <v>1241</v>
      </c>
      <c r="Y59" s="595" t="s">
        <v>151</v>
      </c>
      <c r="Z59" s="595" t="s">
        <v>1244</v>
      </c>
      <c r="AA59" s="595" t="s">
        <v>151</v>
      </c>
      <c r="AB59" s="594">
        <v>10003952</v>
      </c>
    </row>
    <row r="60" spans="1:28" x14ac:dyDescent="0.25">
      <c r="A60" s="25" t="str">
        <f t="shared" si="0"/>
        <v>Lord Street Nursery School</v>
      </c>
      <c r="B60" s="594">
        <v>112471</v>
      </c>
      <c r="C60" s="595" t="s">
        <v>1233</v>
      </c>
      <c r="D60" s="595" t="s">
        <v>1234</v>
      </c>
      <c r="E60" s="594">
        <v>1005</v>
      </c>
      <c r="F60" s="595" t="s">
        <v>1235</v>
      </c>
      <c r="G60" s="595" t="s">
        <v>1236</v>
      </c>
      <c r="H60" s="595" t="s">
        <v>1237</v>
      </c>
      <c r="I60" s="595" t="s">
        <v>151</v>
      </c>
      <c r="J60" s="595" t="s">
        <v>151</v>
      </c>
      <c r="K60" s="595" t="s">
        <v>1238</v>
      </c>
      <c r="L60" s="594">
        <v>2</v>
      </c>
      <c r="M60" s="594">
        <v>5</v>
      </c>
      <c r="N60" s="595" t="s">
        <v>1239</v>
      </c>
      <c r="O60" s="595" t="s">
        <v>1240</v>
      </c>
      <c r="P60" s="595" t="s">
        <v>1241</v>
      </c>
      <c r="Q60" s="595" t="s">
        <v>1242</v>
      </c>
      <c r="R60" s="595" t="s">
        <v>1243</v>
      </c>
      <c r="S60" s="595" t="s">
        <v>1243</v>
      </c>
      <c r="T60" s="595" t="s">
        <v>1241</v>
      </c>
      <c r="U60" s="595" t="s">
        <v>1241</v>
      </c>
      <c r="V60" s="595" t="s">
        <v>1241</v>
      </c>
      <c r="W60" s="595" t="s">
        <v>151</v>
      </c>
      <c r="X60" s="595" t="s">
        <v>1241</v>
      </c>
      <c r="Y60" s="595" t="s">
        <v>151</v>
      </c>
      <c r="Z60" s="595" t="s">
        <v>1244</v>
      </c>
      <c r="AA60" s="595" t="s">
        <v>151</v>
      </c>
      <c r="AB60" s="595" t="s">
        <v>151</v>
      </c>
    </row>
    <row r="61" spans="1:28" x14ac:dyDescent="0.25">
      <c r="A61" s="25" t="str">
        <f t="shared" si="0"/>
        <v>Markeaton Primary School</v>
      </c>
      <c r="B61" s="594">
        <v>112739</v>
      </c>
      <c r="C61" s="595" t="s">
        <v>1233</v>
      </c>
      <c r="D61" s="595" t="s">
        <v>1234</v>
      </c>
      <c r="E61" s="594">
        <v>2436</v>
      </c>
      <c r="F61" s="595" t="s">
        <v>69</v>
      </c>
      <c r="G61" s="595" t="s">
        <v>1256</v>
      </c>
      <c r="H61" s="595" t="s">
        <v>1237</v>
      </c>
      <c r="I61" s="595" t="s">
        <v>151</v>
      </c>
      <c r="J61" s="595" t="s">
        <v>151</v>
      </c>
      <c r="K61" s="595" t="s">
        <v>267</v>
      </c>
      <c r="L61" s="594">
        <v>4</v>
      </c>
      <c r="M61" s="594">
        <v>11</v>
      </c>
      <c r="N61" s="595" t="s">
        <v>1239</v>
      </c>
      <c r="O61" s="595" t="s">
        <v>1258</v>
      </c>
      <c r="P61" s="595" t="s">
        <v>1257</v>
      </c>
      <c r="Q61" s="595" t="s">
        <v>1242</v>
      </c>
      <c r="R61" s="595" t="s">
        <v>1243</v>
      </c>
      <c r="S61" s="595" t="s">
        <v>1243</v>
      </c>
      <c r="T61" s="595" t="s">
        <v>1241</v>
      </c>
      <c r="U61" s="595" t="s">
        <v>1241</v>
      </c>
      <c r="V61" s="595" t="s">
        <v>1241</v>
      </c>
      <c r="W61" s="595" t="s">
        <v>151</v>
      </c>
      <c r="X61" s="595" t="s">
        <v>1241</v>
      </c>
      <c r="Y61" s="595" t="s">
        <v>151</v>
      </c>
      <c r="Z61" s="595" t="s">
        <v>1244</v>
      </c>
      <c r="AA61" s="595" t="s">
        <v>151</v>
      </c>
      <c r="AB61" s="594">
        <v>10077125</v>
      </c>
    </row>
    <row r="62" spans="1:28" x14ac:dyDescent="0.25">
      <c r="A62" s="25" t="str">
        <f t="shared" si="0"/>
        <v>Meadow Farm Community Primary School</v>
      </c>
      <c r="B62" s="594">
        <v>112752</v>
      </c>
      <c r="C62" s="595" t="s">
        <v>1233</v>
      </c>
      <c r="D62" s="595" t="s">
        <v>1234</v>
      </c>
      <c r="E62" s="594">
        <v>2452</v>
      </c>
      <c r="F62" s="595" t="s">
        <v>74</v>
      </c>
      <c r="G62" s="595" t="s">
        <v>1256</v>
      </c>
      <c r="H62" s="595" t="s">
        <v>1237</v>
      </c>
      <c r="I62" s="595" t="s">
        <v>151</v>
      </c>
      <c r="J62" s="595" t="s">
        <v>151</v>
      </c>
      <c r="K62" s="595" t="s">
        <v>267</v>
      </c>
      <c r="L62" s="594">
        <v>3</v>
      </c>
      <c r="M62" s="594">
        <v>11</v>
      </c>
      <c r="N62" s="595" t="s">
        <v>1239</v>
      </c>
      <c r="O62" s="595" t="s">
        <v>1240</v>
      </c>
      <c r="P62" s="595" t="s">
        <v>1257</v>
      </c>
      <c r="Q62" s="595" t="s">
        <v>1242</v>
      </c>
      <c r="R62" s="595" t="s">
        <v>1243</v>
      </c>
      <c r="S62" s="595" t="s">
        <v>1243</v>
      </c>
      <c r="T62" s="595" t="s">
        <v>1241</v>
      </c>
      <c r="U62" s="595" t="s">
        <v>1241</v>
      </c>
      <c r="V62" s="595" t="s">
        <v>1241</v>
      </c>
      <c r="W62" s="595" t="s">
        <v>151</v>
      </c>
      <c r="X62" s="595" t="s">
        <v>1241</v>
      </c>
      <c r="Y62" s="595" t="s">
        <v>151</v>
      </c>
      <c r="Z62" s="595" t="s">
        <v>1244</v>
      </c>
      <c r="AA62" s="595" t="s">
        <v>151</v>
      </c>
      <c r="AB62" s="594">
        <v>10070868</v>
      </c>
    </row>
    <row r="63" spans="1:28" x14ac:dyDescent="0.25">
      <c r="A63" s="25" t="str">
        <f t="shared" si="0"/>
        <v>Mickleover Primary School</v>
      </c>
      <c r="B63" s="594">
        <v>112790</v>
      </c>
      <c r="C63" s="595" t="s">
        <v>1233</v>
      </c>
      <c r="D63" s="595" t="s">
        <v>1234</v>
      </c>
      <c r="E63" s="594">
        <v>2627</v>
      </c>
      <c r="F63" s="595" t="s">
        <v>82</v>
      </c>
      <c r="G63" s="595" t="s">
        <v>1256</v>
      </c>
      <c r="H63" s="595" t="s">
        <v>1237</v>
      </c>
      <c r="I63" s="595" t="s">
        <v>151</v>
      </c>
      <c r="J63" s="595" t="s">
        <v>151</v>
      </c>
      <c r="K63" s="595" t="s">
        <v>267</v>
      </c>
      <c r="L63" s="594">
        <v>4</v>
      </c>
      <c r="M63" s="594">
        <v>11</v>
      </c>
      <c r="N63" s="595" t="s">
        <v>1239</v>
      </c>
      <c r="O63" s="595" t="s">
        <v>1258</v>
      </c>
      <c r="P63" s="595" t="s">
        <v>1257</v>
      </c>
      <c r="Q63" s="595" t="s">
        <v>1242</v>
      </c>
      <c r="R63" s="595" t="s">
        <v>1243</v>
      </c>
      <c r="S63" s="595" t="s">
        <v>1243</v>
      </c>
      <c r="T63" s="595" t="s">
        <v>1241</v>
      </c>
      <c r="U63" s="595" t="s">
        <v>1241</v>
      </c>
      <c r="V63" s="595" t="s">
        <v>1241</v>
      </c>
      <c r="W63" s="595" t="s">
        <v>151</v>
      </c>
      <c r="X63" s="595" t="s">
        <v>1241</v>
      </c>
      <c r="Y63" s="595" t="s">
        <v>151</v>
      </c>
      <c r="Z63" s="595" t="s">
        <v>1244</v>
      </c>
      <c r="AA63" s="595" t="s">
        <v>151</v>
      </c>
      <c r="AB63" s="594">
        <v>10073278</v>
      </c>
    </row>
    <row r="64" spans="1:28" x14ac:dyDescent="0.25">
      <c r="A64" s="25" t="str">
        <f t="shared" si="0"/>
        <v>Murray Park Community School</v>
      </c>
      <c r="B64" s="594">
        <v>112991</v>
      </c>
      <c r="C64" s="595" t="s">
        <v>1233</v>
      </c>
      <c r="D64" s="595" t="s">
        <v>1234</v>
      </c>
      <c r="E64" s="594">
        <v>5406</v>
      </c>
      <c r="F64" s="595" t="s">
        <v>86</v>
      </c>
      <c r="G64" s="595" t="s">
        <v>1263</v>
      </c>
      <c r="H64" s="595" t="s">
        <v>1237</v>
      </c>
      <c r="I64" s="595" t="s">
        <v>151</v>
      </c>
      <c r="J64" s="595" t="s">
        <v>151</v>
      </c>
      <c r="K64" s="595" t="s">
        <v>199</v>
      </c>
      <c r="L64" s="594">
        <v>11</v>
      </c>
      <c r="M64" s="594">
        <v>16</v>
      </c>
      <c r="N64" s="595" t="s">
        <v>1239</v>
      </c>
      <c r="O64" s="595" t="s">
        <v>1258</v>
      </c>
      <c r="P64" s="595" t="s">
        <v>1257</v>
      </c>
      <c r="Q64" s="595" t="s">
        <v>1242</v>
      </c>
      <c r="R64" s="595" t="s">
        <v>1265</v>
      </c>
      <c r="S64" s="595" t="s">
        <v>1243</v>
      </c>
      <c r="T64" s="595" t="s">
        <v>1241</v>
      </c>
      <c r="U64" s="595" t="s">
        <v>1266</v>
      </c>
      <c r="V64" s="595" t="s">
        <v>1269</v>
      </c>
      <c r="W64" s="595" t="s">
        <v>151</v>
      </c>
      <c r="X64" s="595" t="s">
        <v>1241</v>
      </c>
      <c r="Y64" s="595" t="s">
        <v>151</v>
      </c>
      <c r="Z64" s="595" t="s">
        <v>1244</v>
      </c>
      <c r="AA64" s="595" t="s">
        <v>151</v>
      </c>
      <c r="AB64" s="594">
        <v>10007968</v>
      </c>
    </row>
    <row r="65" spans="1:28" x14ac:dyDescent="0.25">
      <c r="A65" s="25" t="str">
        <f t="shared" si="0"/>
        <v>Noel-Baker Academy</v>
      </c>
      <c r="B65" s="594">
        <v>143853</v>
      </c>
      <c r="C65" s="595" t="s">
        <v>1233</v>
      </c>
      <c r="D65" s="595" t="s">
        <v>1234</v>
      </c>
      <c r="E65" s="594">
        <v>4005</v>
      </c>
      <c r="F65" s="595" t="s">
        <v>139</v>
      </c>
      <c r="G65" s="595" t="s">
        <v>1272</v>
      </c>
      <c r="H65" s="595" t="s">
        <v>1237</v>
      </c>
      <c r="I65" s="595" t="s">
        <v>1305</v>
      </c>
      <c r="J65" s="595" t="s">
        <v>151</v>
      </c>
      <c r="K65" s="595" t="s">
        <v>199</v>
      </c>
      <c r="L65" s="594">
        <v>11</v>
      </c>
      <c r="M65" s="594">
        <v>16</v>
      </c>
      <c r="N65" s="595" t="s">
        <v>1239</v>
      </c>
      <c r="O65" s="595" t="s">
        <v>1258</v>
      </c>
      <c r="P65" s="595" t="s">
        <v>1257</v>
      </c>
      <c r="Q65" s="595" t="s">
        <v>1242</v>
      </c>
      <c r="R65" s="595" t="s">
        <v>1243</v>
      </c>
      <c r="S65" s="595" t="s">
        <v>151</v>
      </c>
      <c r="T65" s="595" t="s">
        <v>1241</v>
      </c>
      <c r="U65" s="595" t="s">
        <v>1241</v>
      </c>
      <c r="V65" s="595" t="s">
        <v>1274</v>
      </c>
      <c r="W65" s="595" t="s">
        <v>1306</v>
      </c>
      <c r="X65" s="595" t="s">
        <v>1276</v>
      </c>
      <c r="Y65" s="595" t="s">
        <v>1307</v>
      </c>
      <c r="Z65" s="595" t="s">
        <v>1241</v>
      </c>
      <c r="AA65" s="595" t="s">
        <v>151</v>
      </c>
      <c r="AB65" s="594">
        <v>10062277</v>
      </c>
    </row>
    <row r="66" spans="1:28" x14ac:dyDescent="0.25">
      <c r="A66" s="25" t="str">
        <f t="shared" ref="A66:A105" si="1">F66</f>
        <v>Oak Grange Primary School</v>
      </c>
      <c r="B66" s="594">
        <v>149747</v>
      </c>
      <c r="C66" s="595" t="s">
        <v>1233</v>
      </c>
      <c r="D66" s="595" t="s">
        <v>1234</v>
      </c>
      <c r="E66" s="594">
        <v>2028</v>
      </c>
      <c r="F66" s="595" t="s">
        <v>152</v>
      </c>
      <c r="G66" s="595" t="s">
        <v>1291</v>
      </c>
      <c r="H66" s="595" t="s">
        <v>1237</v>
      </c>
      <c r="I66" s="595" t="s">
        <v>1346</v>
      </c>
      <c r="J66" s="595" t="s">
        <v>151</v>
      </c>
      <c r="K66" s="595" t="s">
        <v>267</v>
      </c>
      <c r="L66" s="594">
        <v>3</v>
      </c>
      <c r="M66" s="594">
        <v>11</v>
      </c>
      <c r="N66" s="595" t="s">
        <v>1239</v>
      </c>
      <c r="O66" s="595" t="s">
        <v>1240</v>
      </c>
      <c r="P66" s="595" t="s">
        <v>1257</v>
      </c>
      <c r="Q66" s="595" t="s">
        <v>1242</v>
      </c>
      <c r="R66" s="595" t="s">
        <v>1265</v>
      </c>
      <c r="S66" s="595" t="s">
        <v>1265</v>
      </c>
      <c r="T66" s="595" t="s">
        <v>1241</v>
      </c>
      <c r="U66" s="595" t="s">
        <v>1266</v>
      </c>
      <c r="V66" s="595" t="s">
        <v>1274</v>
      </c>
      <c r="W66" s="595" t="s">
        <v>1328</v>
      </c>
      <c r="X66" s="595" t="s">
        <v>1276</v>
      </c>
      <c r="Y66" s="595" t="s">
        <v>1329</v>
      </c>
      <c r="Z66" s="595" t="s">
        <v>1241</v>
      </c>
      <c r="AA66" s="595" t="s">
        <v>151</v>
      </c>
      <c r="AB66" s="594">
        <v>10093058</v>
      </c>
    </row>
    <row r="67" spans="1:28" x14ac:dyDescent="0.25">
      <c r="A67" s="25" t="str">
        <f t="shared" si="1"/>
        <v>Oakwood Infant and Nursery School</v>
      </c>
      <c r="B67" s="594">
        <v>112767</v>
      </c>
      <c r="C67" s="595" t="s">
        <v>1233</v>
      </c>
      <c r="D67" s="595" t="s">
        <v>1234</v>
      </c>
      <c r="E67" s="594">
        <v>2473</v>
      </c>
      <c r="F67" s="595" t="s">
        <v>80</v>
      </c>
      <c r="G67" s="595" t="s">
        <v>1256</v>
      </c>
      <c r="H67" s="595" t="s">
        <v>1237</v>
      </c>
      <c r="I67" s="595" t="s">
        <v>151</v>
      </c>
      <c r="J67" s="595" t="s">
        <v>151</v>
      </c>
      <c r="K67" s="595" t="s">
        <v>267</v>
      </c>
      <c r="L67" s="594">
        <v>3</v>
      </c>
      <c r="M67" s="594">
        <v>7</v>
      </c>
      <c r="N67" s="595" t="s">
        <v>1239</v>
      </c>
      <c r="O67" s="595" t="s">
        <v>1240</v>
      </c>
      <c r="P67" s="595" t="s">
        <v>1257</v>
      </c>
      <c r="Q67" s="595" t="s">
        <v>1242</v>
      </c>
      <c r="R67" s="595" t="s">
        <v>1243</v>
      </c>
      <c r="S67" s="595" t="s">
        <v>1243</v>
      </c>
      <c r="T67" s="595" t="s">
        <v>1241</v>
      </c>
      <c r="U67" s="595" t="s">
        <v>1241</v>
      </c>
      <c r="V67" s="595" t="s">
        <v>1241</v>
      </c>
      <c r="W67" s="595" t="s">
        <v>151</v>
      </c>
      <c r="X67" s="595" t="s">
        <v>1241</v>
      </c>
      <c r="Y67" s="595" t="s">
        <v>151</v>
      </c>
      <c r="Z67" s="595" t="s">
        <v>1244</v>
      </c>
      <c r="AA67" s="595" t="s">
        <v>151</v>
      </c>
      <c r="AB67" s="594">
        <v>10076473</v>
      </c>
    </row>
    <row r="68" spans="1:28" x14ac:dyDescent="0.25">
      <c r="A68" s="25" t="str">
        <f t="shared" si="1"/>
        <v>Oakwood Junior School</v>
      </c>
      <c r="B68" s="594">
        <v>146938</v>
      </c>
      <c r="C68" s="595" t="s">
        <v>1233</v>
      </c>
      <c r="D68" s="595" t="s">
        <v>1234</v>
      </c>
      <c r="E68" s="594">
        <v>2471</v>
      </c>
      <c r="F68" s="595" t="s">
        <v>120</v>
      </c>
      <c r="G68" s="595" t="s">
        <v>1278</v>
      </c>
      <c r="H68" s="595" t="s">
        <v>1237</v>
      </c>
      <c r="I68" s="595" t="s">
        <v>1334</v>
      </c>
      <c r="J68" s="595" t="s">
        <v>151</v>
      </c>
      <c r="K68" s="595" t="s">
        <v>267</v>
      </c>
      <c r="L68" s="594">
        <v>7</v>
      </c>
      <c r="M68" s="594">
        <v>11</v>
      </c>
      <c r="N68" s="595" t="s">
        <v>1239</v>
      </c>
      <c r="O68" s="595" t="s">
        <v>1258</v>
      </c>
      <c r="P68" s="595" t="s">
        <v>1257</v>
      </c>
      <c r="Q68" s="595" t="s">
        <v>1242</v>
      </c>
      <c r="R68" s="595" t="s">
        <v>1243</v>
      </c>
      <c r="S68" s="595" t="s">
        <v>1243</v>
      </c>
      <c r="T68" s="595" t="s">
        <v>1241</v>
      </c>
      <c r="U68" s="595" t="s">
        <v>1241</v>
      </c>
      <c r="V68" s="595" t="s">
        <v>1274</v>
      </c>
      <c r="W68" s="595" t="s">
        <v>1333</v>
      </c>
      <c r="X68" s="595" t="s">
        <v>1282</v>
      </c>
      <c r="Y68" s="595" t="s">
        <v>151</v>
      </c>
      <c r="Z68" s="595" t="s">
        <v>1241</v>
      </c>
      <c r="AA68" s="595" t="s">
        <v>151</v>
      </c>
      <c r="AB68" s="594">
        <v>10086779</v>
      </c>
    </row>
    <row r="69" spans="1:28" x14ac:dyDescent="0.25">
      <c r="A69" s="25" t="str">
        <f t="shared" si="1"/>
        <v>Parkview Primary School</v>
      </c>
      <c r="B69" s="594">
        <v>131799</v>
      </c>
      <c r="C69" s="595" t="s">
        <v>1233</v>
      </c>
      <c r="D69" s="595" t="s">
        <v>1234</v>
      </c>
      <c r="E69" s="594">
        <v>2003</v>
      </c>
      <c r="F69" s="595" t="s">
        <v>63</v>
      </c>
      <c r="G69" s="595" t="s">
        <v>1256</v>
      </c>
      <c r="H69" s="595" t="s">
        <v>1237</v>
      </c>
      <c r="I69" s="595" t="s">
        <v>1271</v>
      </c>
      <c r="J69" s="595" t="s">
        <v>151</v>
      </c>
      <c r="K69" s="595" t="s">
        <v>267</v>
      </c>
      <c r="L69" s="594">
        <v>3</v>
      </c>
      <c r="M69" s="594">
        <v>11</v>
      </c>
      <c r="N69" s="595" t="s">
        <v>1239</v>
      </c>
      <c r="O69" s="595" t="s">
        <v>1240</v>
      </c>
      <c r="P69" s="595" t="s">
        <v>1257</v>
      </c>
      <c r="Q69" s="595" t="s">
        <v>1242</v>
      </c>
      <c r="R69" s="595" t="s">
        <v>1243</v>
      </c>
      <c r="S69" s="595" t="s">
        <v>1243</v>
      </c>
      <c r="T69" s="595" t="s">
        <v>1241</v>
      </c>
      <c r="U69" s="595" t="s">
        <v>1241</v>
      </c>
      <c r="V69" s="595" t="s">
        <v>1241</v>
      </c>
      <c r="W69" s="595" t="s">
        <v>151</v>
      </c>
      <c r="X69" s="595" t="s">
        <v>1241</v>
      </c>
      <c r="Y69" s="595" t="s">
        <v>151</v>
      </c>
      <c r="Z69" s="595" t="s">
        <v>1246</v>
      </c>
      <c r="AA69" s="595" t="s">
        <v>1259</v>
      </c>
      <c r="AB69" s="594">
        <v>10073652</v>
      </c>
    </row>
    <row r="70" spans="1:28" x14ac:dyDescent="0.25">
      <c r="A70" s="25" t="str">
        <f t="shared" si="1"/>
        <v>Pear Tree Community Junior School</v>
      </c>
      <c r="B70" s="594">
        <v>144466</v>
      </c>
      <c r="C70" s="595" t="s">
        <v>1233</v>
      </c>
      <c r="D70" s="595" t="s">
        <v>1234</v>
      </c>
      <c r="E70" s="594">
        <v>2017</v>
      </c>
      <c r="F70" s="595" t="s">
        <v>100</v>
      </c>
      <c r="G70" s="595" t="s">
        <v>1272</v>
      </c>
      <c r="H70" s="595" t="s">
        <v>1237</v>
      </c>
      <c r="I70" s="595" t="s">
        <v>1314</v>
      </c>
      <c r="J70" s="595" t="s">
        <v>151</v>
      </c>
      <c r="K70" s="595" t="s">
        <v>267</v>
      </c>
      <c r="L70" s="594">
        <v>7</v>
      </c>
      <c r="M70" s="594">
        <v>11</v>
      </c>
      <c r="N70" s="595" t="s">
        <v>1239</v>
      </c>
      <c r="O70" s="595" t="s">
        <v>1258</v>
      </c>
      <c r="P70" s="595" t="s">
        <v>1257</v>
      </c>
      <c r="Q70" s="595" t="s">
        <v>1242</v>
      </c>
      <c r="R70" s="595" t="s">
        <v>1243</v>
      </c>
      <c r="S70" s="595" t="s">
        <v>151</v>
      </c>
      <c r="T70" s="595" t="s">
        <v>1241</v>
      </c>
      <c r="U70" s="595" t="s">
        <v>1241</v>
      </c>
      <c r="V70" s="595" t="s">
        <v>1274</v>
      </c>
      <c r="W70" s="595" t="s">
        <v>1293</v>
      </c>
      <c r="X70" s="595" t="s">
        <v>1276</v>
      </c>
      <c r="Y70" s="595" t="s">
        <v>1294</v>
      </c>
      <c r="Z70" s="595" t="s">
        <v>1241</v>
      </c>
      <c r="AA70" s="595" t="s">
        <v>151</v>
      </c>
      <c r="AB70" s="594">
        <v>10063711</v>
      </c>
    </row>
    <row r="71" spans="1:28" x14ac:dyDescent="0.25">
      <c r="A71" s="25" t="str">
        <f t="shared" si="1"/>
        <v>Pear Tree Infant School</v>
      </c>
      <c r="B71" s="594">
        <v>112728</v>
      </c>
      <c r="C71" s="595" t="s">
        <v>1233</v>
      </c>
      <c r="D71" s="595" t="s">
        <v>1234</v>
      </c>
      <c r="E71" s="594">
        <v>2424</v>
      </c>
      <c r="F71" s="595" t="s">
        <v>67</v>
      </c>
      <c r="G71" s="595" t="s">
        <v>1256</v>
      </c>
      <c r="H71" s="595" t="s">
        <v>1237</v>
      </c>
      <c r="I71" s="595" t="s">
        <v>151</v>
      </c>
      <c r="J71" s="595" t="s">
        <v>151</v>
      </c>
      <c r="K71" s="595" t="s">
        <v>267</v>
      </c>
      <c r="L71" s="594">
        <v>5</v>
      </c>
      <c r="M71" s="594">
        <v>7</v>
      </c>
      <c r="N71" s="595" t="s">
        <v>1239</v>
      </c>
      <c r="O71" s="595" t="s">
        <v>1258</v>
      </c>
      <c r="P71" s="595" t="s">
        <v>1257</v>
      </c>
      <c r="Q71" s="595" t="s">
        <v>1242</v>
      </c>
      <c r="R71" s="595" t="s">
        <v>1243</v>
      </c>
      <c r="S71" s="595" t="s">
        <v>1243</v>
      </c>
      <c r="T71" s="595" t="s">
        <v>1241</v>
      </c>
      <c r="U71" s="595" t="s">
        <v>1241</v>
      </c>
      <c r="V71" s="595" t="s">
        <v>1241</v>
      </c>
      <c r="W71" s="595" t="s">
        <v>151</v>
      </c>
      <c r="X71" s="595" t="s">
        <v>1241</v>
      </c>
      <c r="Y71" s="595" t="s">
        <v>151</v>
      </c>
      <c r="Z71" s="595" t="s">
        <v>1246</v>
      </c>
      <c r="AA71" s="595" t="s">
        <v>1252</v>
      </c>
      <c r="AB71" s="594">
        <v>10076482</v>
      </c>
    </row>
    <row r="72" spans="1:28" x14ac:dyDescent="0.25">
      <c r="A72" s="25" t="str">
        <f t="shared" si="1"/>
        <v>Portway Infant School</v>
      </c>
      <c r="B72" s="594">
        <v>112740</v>
      </c>
      <c r="C72" s="595" t="s">
        <v>1233</v>
      </c>
      <c r="D72" s="595" t="s">
        <v>1234</v>
      </c>
      <c r="E72" s="594">
        <v>2439</v>
      </c>
      <c r="F72" s="595" t="s">
        <v>70</v>
      </c>
      <c r="G72" s="595" t="s">
        <v>1256</v>
      </c>
      <c r="H72" s="595" t="s">
        <v>1237</v>
      </c>
      <c r="I72" s="595" t="s">
        <v>151</v>
      </c>
      <c r="J72" s="595" t="s">
        <v>151</v>
      </c>
      <c r="K72" s="595" t="s">
        <v>267</v>
      </c>
      <c r="L72" s="594">
        <v>5</v>
      </c>
      <c r="M72" s="594">
        <v>7</v>
      </c>
      <c r="N72" s="595" t="s">
        <v>1239</v>
      </c>
      <c r="O72" s="595" t="s">
        <v>1258</v>
      </c>
      <c r="P72" s="595" t="s">
        <v>1257</v>
      </c>
      <c r="Q72" s="595" t="s">
        <v>1242</v>
      </c>
      <c r="R72" s="595" t="s">
        <v>1243</v>
      </c>
      <c r="S72" s="595" t="s">
        <v>1243</v>
      </c>
      <c r="T72" s="595" t="s">
        <v>1241</v>
      </c>
      <c r="U72" s="595" t="s">
        <v>1241</v>
      </c>
      <c r="V72" s="595" t="s">
        <v>1241</v>
      </c>
      <c r="W72" s="595" t="s">
        <v>151</v>
      </c>
      <c r="X72" s="595" t="s">
        <v>1241</v>
      </c>
      <c r="Y72" s="595" t="s">
        <v>151</v>
      </c>
      <c r="Z72" s="595" t="s">
        <v>1244</v>
      </c>
      <c r="AA72" s="595" t="s">
        <v>151</v>
      </c>
      <c r="AB72" s="594">
        <v>10076480</v>
      </c>
    </row>
    <row r="73" spans="1:28" x14ac:dyDescent="0.25">
      <c r="A73" s="25" t="str">
        <f t="shared" si="1"/>
        <v>Portway Junior School</v>
      </c>
      <c r="B73" s="594">
        <v>146879</v>
      </c>
      <c r="C73" s="595" t="s">
        <v>1233</v>
      </c>
      <c r="D73" s="595" t="s">
        <v>1234</v>
      </c>
      <c r="E73" s="594">
        <v>2440</v>
      </c>
      <c r="F73" s="595" t="s">
        <v>111</v>
      </c>
      <c r="G73" s="595" t="s">
        <v>1278</v>
      </c>
      <c r="H73" s="595" t="s">
        <v>1237</v>
      </c>
      <c r="I73" s="595" t="s">
        <v>1330</v>
      </c>
      <c r="J73" s="595" t="s">
        <v>151</v>
      </c>
      <c r="K73" s="595" t="s">
        <v>267</v>
      </c>
      <c r="L73" s="594">
        <v>7</v>
      </c>
      <c r="M73" s="594">
        <v>11</v>
      </c>
      <c r="N73" s="595" t="s">
        <v>1239</v>
      </c>
      <c r="O73" s="595" t="s">
        <v>1258</v>
      </c>
      <c r="P73" s="595" t="s">
        <v>1257</v>
      </c>
      <c r="Q73" s="595" t="s">
        <v>1242</v>
      </c>
      <c r="R73" s="595" t="s">
        <v>1243</v>
      </c>
      <c r="S73" s="595" t="s">
        <v>1243</v>
      </c>
      <c r="T73" s="595" t="s">
        <v>1241</v>
      </c>
      <c r="U73" s="595" t="s">
        <v>1241</v>
      </c>
      <c r="V73" s="595" t="s">
        <v>1274</v>
      </c>
      <c r="W73" s="595" t="s">
        <v>1333</v>
      </c>
      <c r="X73" s="595" t="s">
        <v>1282</v>
      </c>
      <c r="Y73" s="595" t="s">
        <v>151</v>
      </c>
      <c r="Z73" s="595" t="s">
        <v>1241</v>
      </c>
      <c r="AA73" s="595" t="s">
        <v>151</v>
      </c>
      <c r="AB73" s="594">
        <v>10082999</v>
      </c>
    </row>
    <row r="74" spans="1:28" x14ac:dyDescent="0.25">
      <c r="A74" s="25" t="str">
        <f t="shared" si="1"/>
        <v>Ravensdale Infant and Nursery School</v>
      </c>
      <c r="B74" s="594">
        <v>112759</v>
      </c>
      <c r="C74" s="595" t="s">
        <v>1233</v>
      </c>
      <c r="D74" s="595" t="s">
        <v>1234</v>
      </c>
      <c r="E74" s="594">
        <v>2462</v>
      </c>
      <c r="F74" s="595" t="s">
        <v>78</v>
      </c>
      <c r="G74" s="595" t="s">
        <v>1256</v>
      </c>
      <c r="H74" s="595" t="s">
        <v>1237</v>
      </c>
      <c r="I74" s="595" t="s">
        <v>151</v>
      </c>
      <c r="J74" s="595" t="s">
        <v>151</v>
      </c>
      <c r="K74" s="595" t="s">
        <v>267</v>
      </c>
      <c r="L74" s="594">
        <v>3</v>
      </c>
      <c r="M74" s="594">
        <v>7</v>
      </c>
      <c r="N74" s="595" t="s">
        <v>1239</v>
      </c>
      <c r="O74" s="595" t="s">
        <v>1240</v>
      </c>
      <c r="P74" s="595" t="s">
        <v>1257</v>
      </c>
      <c r="Q74" s="595" t="s">
        <v>1242</v>
      </c>
      <c r="R74" s="595" t="s">
        <v>1243</v>
      </c>
      <c r="S74" s="595" t="s">
        <v>1243</v>
      </c>
      <c r="T74" s="595" t="s">
        <v>1241</v>
      </c>
      <c r="U74" s="595" t="s">
        <v>1241</v>
      </c>
      <c r="V74" s="595" t="s">
        <v>1241</v>
      </c>
      <c r="W74" s="595" t="s">
        <v>151</v>
      </c>
      <c r="X74" s="595" t="s">
        <v>1241</v>
      </c>
      <c r="Y74" s="595" t="s">
        <v>151</v>
      </c>
      <c r="Z74" s="595" t="s">
        <v>1244</v>
      </c>
      <c r="AA74" s="595" t="s">
        <v>151</v>
      </c>
      <c r="AB74" s="594">
        <v>10076474</v>
      </c>
    </row>
    <row r="75" spans="1:28" x14ac:dyDescent="0.25">
      <c r="A75" s="25" t="str">
        <f t="shared" si="1"/>
        <v>Ravensdale Junior School</v>
      </c>
      <c r="B75" s="594">
        <v>147399</v>
      </c>
      <c r="C75" s="595" t="s">
        <v>1233</v>
      </c>
      <c r="D75" s="595" t="s">
        <v>1234</v>
      </c>
      <c r="E75" s="594">
        <v>2463</v>
      </c>
      <c r="F75" s="595" t="s">
        <v>116</v>
      </c>
      <c r="G75" s="595" t="s">
        <v>1278</v>
      </c>
      <c r="H75" s="595" t="s">
        <v>1237</v>
      </c>
      <c r="I75" s="595" t="s">
        <v>1337</v>
      </c>
      <c r="J75" s="595" t="s">
        <v>151</v>
      </c>
      <c r="K75" s="595" t="s">
        <v>267</v>
      </c>
      <c r="L75" s="594">
        <v>7</v>
      </c>
      <c r="M75" s="594">
        <v>11</v>
      </c>
      <c r="N75" s="595" t="s">
        <v>1239</v>
      </c>
      <c r="O75" s="595" t="s">
        <v>1258</v>
      </c>
      <c r="P75" s="595" t="s">
        <v>1257</v>
      </c>
      <c r="Q75" s="595" t="s">
        <v>1242</v>
      </c>
      <c r="R75" s="595" t="s">
        <v>1243</v>
      </c>
      <c r="S75" s="595" t="s">
        <v>1243</v>
      </c>
      <c r="T75" s="595" t="s">
        <v>1241</v>
      </c>
      <c r="U75" s="595" t="s">
        <v>1241</v>
      </c>
      <c r="V75" s="595" t="s">
        <v>1274</v>
      </c>
      <c r="W75" s="595" t="s">
        <v>1293</v>
      </c>
      <c r="X75" s="595" t="s">
        <v>1276</v>
      </c>
      <c r="Y75" s="595" t="s">
        <v>1294</v>
      </c>
      <c r="Z75" s="595" t="s">
        <v>1241</v>
      </c>
      <c r="AA75" s="595" t="s">
        <v>151</v>
      </c>
      <c r="AB75" s="594">
        <v>10084126</v>
      </c>
    </row>
    <row r="76" spans="1:28" x14ac:dyDescent="0.25">
      <c r="A76" s="25" t="str">
        <f t="shared" si="1"/>
        <v>Redwood Primary School</v>
      </c>
      <c r="B76" s="594">
        <v>112770</v>
      </c>
      <c r="C76" s="595" t="s">
        <v>1233</v>
      </c>
      <c r="D76" s="595" t="s">
        <v>1234</v>
      </c>
      <c r="E76" s="594">
        <v>2505</v>
      </c>
      <c r="F76" s="595" t="s">
        <v>81</v>
      </c>
      <c r="G76" s="595" t="s">
        <v>1256</v>
      </c>
      <c r="H76" s="595" t="s">
        <v>1237</v>
      </c>
      <c r="I76" s="595" t="s">
        <v>151</v>
      </c>
      <c r="J76" s="595" t="s">
        <v>151</v>
      </c>
      <c r="K76" s="595" t="s">
        <v>267</v>
      </c>
      <c r="L76" s="594">
        <v>3</v>
      </c>
      <c r="M76" s="594">
        <v>11</v>
      </c>
      <c r="N76" s="595" t="s">
        <v>1239</v>
      </c>
      <c r="O76" s="595" t="s">
        <v>1240</v>
      </c>
      <c r="P76" s="595" t="s">
        <v>1257</v>
      </c>
      <c r="Q76" s="595" t="s">
        <v>1242</v>
      </c>
      <c r="R76" s="595" t="s">
        <v>1243</v>
      </c>
      <c r="S76" s="595" t="s">
        <v>1243</v>
      </c>
      <c r="T76" s="595" t="s">
        <v>1241</v>
      </c>
      <c r="U76" s="595" t="s">
        <v>1241</v>
      </c>
      <c r="V76" s="595" t="s">
        <v>1241</v>
      </c>
      <c r="W76" s="595" t="s">
        <v>151</v>
      </c>
      <c r="X76" s="595" t="s">
        <v>1241</v>
      </c>
      <c r="Y76" s="595" t="s">
        <v>151</v>
      </c>
      <c r="Z76" s="595" t="s">
        <v>1246</v>
      </c>
      <c r="AA76" s="595" t="s">
        <v>1259</v>
      </c>
      <c r="AB76" s="594">
        <v>10070866</v>
      </c>
    </row>
    <row r="77" spans="1:28" x14ac:dyDescent="0.25">
      <c r="A77" s="25" t="str">
        <f t="shared" si="1"/>
        <v>Reigate Park Primary Academy</v>
      </c>
      <c r="B77" s="594">
        <v>145855</v>
      </c>
      <c r="C77" s="595" t="s">
        <v>1233</v>
      </c>
      <c r="D77" s="595" t="s">
        <v>1234</v>
      </c>
      <c r="E77" s="594">
        <v>2020</v>
      </c>
      <c r="F77" s="595" t="s">
        <v>103</v>
      </c>
      <c r="G77" s="595" t="s">
        <v>1272</v>
      </c>
      <c r="H77" s="595" t="s">
        <v>1237</v>
      </c>
      <c r="I77" s="595" t="s">
        <v>1322</v>
      </c>
      <c r="J77" s="595" t="s">
        <v>151</v>
      </c>
      <c r="K77" s="595" t="s">
        <v>267</v>
      </c>
      <c r="L77" s="594">
        <v>3</v>
      </c>
      <c r="M77" s="594">
        <v>11</v>
      </c>
      <c r="N77" s="595" t="s">
        <v>1239</v>
      </c>
      <c r="O77" s="595" t="s">
        <v>1240</v>
      </c>
      <c r="P77" s="595" t="s">
        <v>1257</v>
      </c>
      <c r="Q77" s="595" t="s">
        <v>1242</v>
      </c>
      <c r="R77" s="595" t="s">
        <v>1243</v>
      </c>
      <c r="S77" s="595" t="s">
        <v>1243</v>
      </c>
      <c r="T77" s="595" t="s">
        <v>1241</v>
      </c>
      <c r="U77" s="595" t="s">
        <v>1241</v>
      </c>
      <c r="V77" s="595" t="s">
        <v>1274</v>
      </c>
      <c r="W77" s="595" t="s">
        <v>1316</v>
      </c>
      <c r="X77" s="595" t="s">
        <v>1276</v>
      </c>
      <c r="Y77" s="595" t="s">
        <v>1317</v>
      </c>
      <c r="Z77" s="595" t="s">
        <v>1241</v>
      </c>
      <c r="AA77" s="595" t="s">
        <v>151</v>
      </c>
      <c r="AB77" s="594">
        <v>10067724</v>
      </c>
    </row>
    <row r="78" spans="1:28" x14ac:dyDescent="0.25">
      <c r="A78" s="25" t="str">
        <f t="shared" si="1"/>
        <v>Ridgeway Infant School</v>
      </c>
      <c r="B78" s="594">
        <v>112757</v>
      </c>
      <c r="C78" s="595" t="s">
        <v>1233</v>
      </c>
      <c r="D78" s="595" t="s">
        <v>1234</v>
      </c>
      <c r="E78" s="594">
        <v>2458</v>
      </c>
      <c r="F78" s="595" t="s">
        <v>76</v>
      </c>
      <c r="G78" s="595" t="s">
        <v>1256</v>
      </c>
      <c r="H78" s="595" t="s">
        <v>1237</v>
      </c>
      <c r="I78" s="595" t="s">
        <v>151</v>
      </c>
      <c r="J78" s="595" t="s">
        <v>151</v>
      </c>
      <c r="K78" s="595" t="s">
        <v>267</v>
      </c>
      <c r="L78" s="594">
        <v>4</v>
      </c>
      <c r="M78" s="594">
        <v>7</v>
      </c>
      <c r="N78" s="595" t="s">
        <v>1239</v>
      </c>
      <c r="O78" s="595" t="s">
        <v>1258</v>
      </c>
      <c r="P78" s="595" t="s">
        <v>1257</v>
      </c>
      <c r="Q78" s="595" t="s">
        <v>1242</v>
      </c>
      <c r="R78" s="595" t="s">
        <v>1243</v>
      </c>
      <c r="S78" s="595" t="s">
        <v>1243</v>
      </c>
      <c r="T78" s="595" t="s">
        <v>1241</v>
      </c>
      <c r="U78" s="595" t="s">
        <v>1241</v>
      </c>
      <c r="V78" s="595" t="s">
        <v>1241</v>
      </c>
      <c r="W78" s="595" t="s">
        <v>151</v>
      </c>
      <c r="X78" s="595" t="s">
        <v>1241</v>
      </c>
      <c r="Y78" s="595" t="s">
        <v>151</v>
      </c>
      <c r="Z78" s="595" t="s">
        <v>1244</v>
      </c>
      <c r="AA78" s="595" t="s">
        <v>151</v>
      </c>
      <c r="AB78" s="594">
        <v>10069685</v>
      </c>
    </row>
    <row r="79" spans="1:28" x14ac:dyDescent="0.25">
      <c r="A79" s="25" t="str">
        <f t="shared" si="1"/>
        <v>Roe Farm Primary School</v>
      </c>
      <c r="B79" s="594">
        <v>131401</v>
      </c>
      <c r="C79" s="595" t="s">
        <v>1233</v>
      </c>
      <c r="D79" s="595" t="s">
        <v>1234</v>
      </c>
      <c r="E79" s="594">
        <v>2001</v>
      </c>
      <c r="F79" s="595" t="s">
        <v>62</v>
      </c>
      <c r="G79" s="595" t="s">
        <v>1256</v>
      </c>
      <c r="H79" s="595" t="s">
        <v>1237</v>
      </c>
      <c r="I79" s="595" t="s">
        <v>1270</v>
      </c>
      <c r="J79" s="595" t="s">
        <v>151</v>
      </c>
      <c r="K79" s="595" t="s">
        <v>267</v>
      </c>
      <c r="L79" s="594">
        <v>3</v>
      </c>
      <c r="M79" s="594">
        <v>11</v>
      </c>
      <c r="N79" s="595" t="s">
        <v>1239</v>
      </c>
      <c r="O79" s="595" t="s">
        <v>1240</v>
      </c>
      <c r="P79" s="595" t="s">
        <v>1257</v>
      </c>
      <c r="Q79" s="595" t="s">
        <v>1242</v>
      </c>
      <c r="R79" s="595" t="s">
        <v>1243</v>
      </c>
      <c r="S79" s="595" t="s">
        <v>1243</v>
      </c>
      <c r="T79" s="595" t="s">
        <v>1241</v>
      </c>
      <c r="U79" s="595" t="s">
        <v>1241</v>
      </c>
      <c r="V79" s="595" t="s">
        <v>1241</v>
      </c>
      <c r="W79" s="595" t="s">
        <v>151</v>
      </c>
      <c r="X79" s="595" t="s">
        <v>1241</v>
      </c>
      <c r="Y79" s="595" t="s">
        <v>151</v>
      </c>
      <c r="Z79" s="595" t="s">
        <v>1244</v>
      </c>
      <c r="AA79" s="595" t="s">
        <v>151</v>
      </c>
      <c r="AB79" s="594">
        <v>10075252</v>
      </c>
    </row>
    <row r="80" spans="1:28" x14ac:dyDescent="0.25">
      <c r="A80" s="25" t="str">
        <f t="shared" si="1"/>
        <v>Rosehill Infant and Nursery School</v>
      </c>
      <c r="B80" s="594">
        <v>112733</v>
      </c>
      <c r="C80" s="595" t="s">
        <v>1233</v>
      </c>
      <c r="D80" s="595" t="s">
        <v>1234</v>
      </c>
      <c r="E80" s="594">
        <v>2429</v>
      </c>
      <c r="F80" s="595" t="s">
        <v>68</v>
      </c>
      <c r="G80" s="595" t="s">
        <v>1256</v>
      </c>
      <c r="H80" s="595" t="s">
        <v>1237</v>
      </c>
      <c r="I80" s="595" t="s">
        <v>151</v>
      </c>
      <c r="J80" s="595" t="s">
        <v>151</v>
      </c>
      <c r="K80" s="595" t="s">
        <v>267</v>
      </c>
      <c r="L80" s="594">
        <v>3</v>
      </c>
      <c r="M80" s="594">
        <v>7</v>
      </c>
      <c r="N80" s="595" t="s">
        <v>1239</v>
      </c>
      <c r="O80" s="595" t="s">
        <v>1240</v>
      </c>
      <c r="P80" s="595" t="s">
        <v>1257</v>
      </c>
      <c r="Q80" s="595" t="s">
        <v>1242</v>
      </c>
      <c r="R80" s="595" t="s">
        <v>1243</v>
      </c>
      <c r="S80" s="595" t="s">
        <v>1243</v>
      </c>
      <c r="T80" s="595" t="s">
        <v>1241</v>
      </c>
      <c r="U80" s="595" t="s">
        <v>1241</v>
      </c>
      <c r="V80" s="595" t="s">
        <v>1241</v>
      </c>
      <c r="W80" s="595" t="s">
        <v>151</v>
      </c>
      <c r="X80" s="595" t="s">
        <v>1241</v>
      </c>
      <c r="Y80" s="595" t="s">
        <v>151</v>
      </c>
      <c r="Z80" s="595" t="s">
        <v>1244</v>
      </c>
      <c r="AA80" s="595" t="s">
        <v>151</v>
      </c>
      <c r="AB80" s="594">
        <v>10076481</v>
      </c>
    </row>
    <row r="81" spans="1:28" x14ac:dyDescent="0.25">
      <c r="A81" s="25" t="str">
        <f t="shared" si="1"/>
        <v>Saint Benedict, A Catholic Voluntary Academy</v>
      </c>
      <c r="B81" s="594">
        <v>138622</v>
      </c>
      <c r="C81" s="595" t="s">
        <v>1233</v>
      </c>
      <c r="D81" s="595" t="s">
        <v>1234</v>
      </c>
      <c r="E81" s="594">
        <v>4607</v>
      </c>
      <c r="F81" s="595" t="s">
        <v>147</v>
      </c>
      <c r="G81" s="595" t="s">
        <v>1278</v>
      </c>
      <c r="H81" s="595" t="s">
        <v>1237</v>
      </c>
      <c r="I81" s="595" t="s">
        <v>1284</v>
      </c>
      <c r="J81" s="595" t="s">
        <v>151</v>
      </c>
      <c r="K81" s="595" t="s">
        <v>199</v>
      </c>
      <c r="L81" s="594">
        <v>11</v>
      </c>
      <c r="M81" s="594">
        <v>19</v>
      </c>
      <c r="N81" s="595" t="s">
        <v>1239</v>
      </c>
      <c r="O81" s="595" t="s">
        <v>1258</v>
      </c>
      <c r="P81" s="595" t="s">
        <v>1264</v>
      </c>
      <c r="Q81" s="595" t="s">
        <v>1242</v>
      </c>
      <c r="R81" s="595" t="s">
        <v>1287</v>
      </c>
      <c r="S81" s="595" t="s">
        <v>1243</v>
      </c>
      <c r="T81" s="595" t="s">
        <v>1288</v>
      </c>
      <c r="U81" s="595" t="s">
        <v>1266</v>
      </c>
      <c r="V81" s="595" t="s">
        <v>1274</v>
      </c>
      <c r="W81" s="595" t="s">
        <v>1289</v>
      </c>
      <c r="X81" s="595" t="s">
        <v>1276</v>
      </c>
      <c r="Y81" s="595" t="s">
        <v>1290</v>
      </c>
      <c r="Z81" s="595" t="s">
        <v>1241</v>
      </c>
      <c r="AA81" s="595" t="s">
        <v>151</v>
      </c>
      <c r="AB81" s="594">
        <v>10038595</v>
      </c>
    </row>
    <row r="82" spans="1:28" x14ac:dyDescent="0.25">
      <c r="A82" s="25" t="str">
        <f t="shared" si="1"/>
        <v>Shelton Infant School</v>
      </c>
      <c r="B82" s="594">
        <v>112745</v>
      </c>
      <c r="C82" s="595" t="s">
        <v>1233</v>
      </c>
      <c r="D82" s="595" t="s">
        <v>1234</v>
      </c>
      <c r="E82" s="594">
        <v>2444</v>
      </c>
      <c r="F82" s="595" t="s">
        <v>72</v>
      </c>
      <c r="G82" s="595" t="s">
        <v>1256</v>
      </c>
      <c r="H82" s="595" t="s">
        <v>1237</v>
      </c>
      <c r="I82" s="595" t="s">
        <v>151</v>
      </c>
      <c r="J82" s="595" t="s">
        <v>151</v>
      </c>
      <c r="K82" s="595" t="s">
        <v>267</v>
      </c>
      <c r="L82" s="594">
        <v>3</v>
      </c>
      <c r="M82" s="594">
        <v>7</v>
      </c>
      <c r="N82" s="595" t="s">
        <v>1239</v>
      </c>
      <c r="O82" s="595" t="s">
        <v>1240</v>
      </c>
      <c r="P82" s="595" t="s">
        <v>1257</v>
      </c>
      <c r="Q82" s="595" t="s">
        <v>1242</v>
      </c>
      <c r="R82" s="595" t="s">
        <v>1243</v>
      </c>
      <c r="S82" s="595" t="s">
        <v>1243</v>
      </c>
      <c r="T82" s="595" t="s">
        <v>1241</v>
      </c>
      <c r="U82" s="595" t="s">
        <v>1241</v>
      </c>
      <c r="V82" s="595" t="s">
        <v>1241</v>
      </c>
      <c r="W82" s="595" t="s">
        <v>151</v>
      </c>
      <c r="X82" s="595" t="s">
        <v>1241</v>
      </c>
      <c r="Y82" s="595" t="s">
        <v>151</v>
      </c>
      <c r="Z82" s="595" t="s">
        <v>1244</v>
      </c>
      <c r="AA82" s="595" t="s">
        <v>151</v>
      </c>
      <c r="AB82" s="594">
        <v>10076478</v>
      </c>
    </row>
    <row r="83" spans="1:28" x14ac:dyDescent="0.25">
      <c r="A83" s="25" t="str">
        <f t="shared" si="1"/>
        <v>Shelton Junior School</v>
      </c>
      <c r="B83" s="594">
        <v>112983</v>
      </c>
      <c r="C83" s="595" t="s">
        <v>1233</v>
      </c>
      <c r="D83" s="595" t="s">
        <v>1234</v>
      </c>
      <c r="E83" s="594">
        <v>5209</v>
      </c>
      <c r="F83" s="595" t="s">
        <v>84</v>
      </c>
      <c r="G83" s="595" t="s">
        <v>1263</v>
      </c>
      <c r="H83" s="595" t="s">
        <v>1237</v>
      </c>
      <c r="I83" s="595" t="s">
        <v>151</v>
      </c>
      <c r="J83" s="595" t="s">
        <v>151</v>
      </c>
      <c r="K83" s="595" t="s">
        <v>267</v>
      </c>
      <c r="L83" s="594">
        <v>7</v>
      </c>
      <c r="M83" s="594">
        <v>11</v>
      </c>
      <c r="N83" s="595" t="s">
        <v>1239</v>
      </c>
      <c r="O83" s="595" t="s">
        <v>1258</v>
      </c>
      <c r="P83" s="595" t="s">
        <v>1257</v>
      </c>
      <c r="Q83" s="595" t="s">
        <v>1242</v>
      </c>
      <c r="R83" s="595" t="s">
        <v>1265</v>
      </c>
      <c r="S83" s="595" t="s">
        <v>1243</v>
      </c>
      <c r="T83" s="595" t="s">
        <v>1241</v>
      </c>
      <c r="U83" s="595" t="s">
        <v>1241</v>
      </c>
      <c r="V83" s="595" t="s">
        <v>1269</v>
      </c>
      <c r="W83" s="595" t="s">
        <v>151</v>
      </c>
      <c r="X83" s="595" t="s">
        <v>1241</v>
      </c>
      <c r="Y83" s="595" t="s">
        <v>151</v>
      </c>
      <c r="Z83" s="595" t="s">
        <v>1244</v>
      </c>
      <c r="AA83" s="595" t="s">
        <v>151</v>
      </c>
      <c r="AB83" s="594">
        <v>10073685</v>
      </c>
    </row>
    <row r="84" spans="1:28" x14ac:dyDescent="0.25">
      <c r="A84" s="25" t="str">
        <f t="shared" si="1"/>
        <v>Silverhill Primary School</v>
      </c>
      <c r="B84" s="594">
        <v>112765</v>
      </c>
      <c r="C84" s="595" t="s">
        <v>1233</v>
      </c>
      <c r="D84" s="595" t="s">
        <v>1234</v>
      </c>
      <c r="E84" s="594">
        <v>2469</v>
      </c>
      <c r="F84" s="595" t="s">
        <v>79</v>
      </c>
      <c r="G84" s="595" t="s">
        <v>1256</v>
      </c>
      <c r="H84" s="595" t="s">
        <v>1237</v>
      </c>
      <c r="I84" s="595" t="s">
        <v>151</v>
      </c>
      <c r="J84" s="595" t="s">
        <v>151</v>
      </c>
      <c r="K84" s="595" t="s">
        <v>267</v>
      </c>
      <c r="L84" s="594">
        <v>4</v>
      </c>
      <c r="M84" s="594">
        <v>11</v>
      </c>
      <c r="N84" s="595" t="s">
        <v>1239</v>
      </c>
      <c r="O84" s="595" t="s">
        <v>1258</v>
      </c>
      <c r="P84" s="595" t="s">
        <v>1257</v>
      </c>
      <c r="Q84" s="595" t="s">
        <v>1242</v>
      </c>
      <c r="R84" s="595" t="s">
        <v>1243</v>
      </c>
      <c r="S84" s="595" t="s">
        <v>1243</v>
      </c>
      <c r="T84" s="595" t="s">
        <v>1241</v>
      </c>
      <c r="U84" s="595" t="s">
        <v>1241</v>
      </c>
      <c r="V84" s="595" t="s">
        <v>1241</v>
      </c>
      <c r="W84" s="595" t="s">
        <v>151</v>
      </c>
      <c r="X84" s="595" t="s">
        <v>1241</v>
      </c>
      <c r="Y84" s="595" t="s">
        <v>151</v>
      </c>
      <c r="Z84" s="595" t="s">
        <v>1244</v>
      </c>
      <c r="AA84" s="595" t="s">
        <v>151</v>
      </c>
      <c r="AB84" s="594">
        <v>10076127</v>
      </c>
    </row>
    <row r="85" spans="1:28" x14ac:dyDescent="0.25">
      <c r="A85" s="25" t="str">
        <f t="shared" si="1"/>
        <v>Springfield Primary School</v>
      </c>
      <c r="B85" s="594">
        <v>146839</v>
      </c>
      <c r="C85" s="595" t="s">
        <v>1233</v>
      </c>
      <c r="D85" s="595" t="s">
        <v>1234</v>
      </c>
      <c r="E85" s="594">
        <v>2466</v>
      </c>
      <c r="F85" s="595" t="s">
        <v>118</v>
      </c>
      <c r="G85" s="595" t="s">
        <v>1278</v>
      </c>
      <c r="H85" s="595" t="s">
        <v>1237</v>
      </c>
      <c r="I85" s="595" t="s">
        <v>1332</v>
      </c>
      <c r="J85" s="595" t="s">
        <v>151</v>
      </c>
      <c r="K85" s="595" t="s">
        <v>267</v>
      </c>
      <c r="L85" s="594">
        <v>4</v>
      </c>
      <c r="M85" s="594">
        <v>11</v>
      </c>
      <c r="N85" s="595" t="s">
        <v>1239</v>
      </c>
      <c r="O85" s="595" t="s">
        <v>1258</v>
      </c>
      <c r="P85" s="595" t="s">
        <v>1257</v>
      </c>
      <c r="Q85" s="595" t="s">
        <v>1242</v>
      </c>
      <c r="R85" s="595" t="s">
        <v>1243</v>
      </c>
      <c r="S85" s="595" t="s">
        <v>1243</v>
      </c>
      <c r="T85" s="595" t="s">
        <v>1241</v>
      </c>
      <c r="U85" s="595" t="s">
        <v>1241</v>
      </c>
      <c r="V85" s="595" t="s">
        <v>1274</v>
      </c>
      <c r="W85" s="595" t="s">
        <v>1333</v>
      </c>
      <c r="X85" s="595" t="s">
        <v>1282</v>
      </c>
      <c r="Y85" s="595" t="s">
        <v>151</v>
      </c>
      <c r="Z85" s="595" t="s">
        <v>1241</v>
      </c>
      <c r="AA85" s="595" t="s">
        <v>151</v>
      </c>
      <c r="AB85" s="594">
        <v>10082667</v>
      </c>
    </row>
    <row r="86" spans="1:28" x14ac:dyDescent="0.25">
      <c r="A86" s="25" t="str">
        <f t="shared" si="1"/>
        <v>St Alban's Catholic Voluntary Academy</v>
      </c>
      <c r="B86" s="594">
        <v>146253</v>
      </c>
      <c r="C86" s="595" t="s">
        <v>1233</v>
      </c>
      <c r="D86" s="595" t="s">
        <v>1234</v>
      </c>
      <c r="E86" s="594">
        <v>3543</v>
      </c>
      <c r="F86" s="595" t="s">
        <v>132</v>
      </c>
      <c r="G86" s="595" t="s">
        <v>1278</v>
      </c>
      <c r="H86" s="595" t="s">
        <v>1237</v>
      </c>
      <c r="I86" s="595" t="s">
        <v>1322</v>
      </c>
      <c r="J86" s="595" t="s">
        <v>151</v>
      </c>
      <c r="K86" s="595" t="s">
        <v>267</v>
      </c>
      <c r="L86" s="594">
        <v>3</v>
      </c>
      <c r="M86" s="594">
        <v>11</v>
      </c>
      <c r="N86" s="595" t="s">
        <v>1239</v>
      </c>
      <c r="O86" s="595" t="s">
        <v>1240</v>
      </c>
      <c r="P86" s="595" t="s">
        <v>1257</v>
      </c>
      <c r="Q86" s="595" t="s">
        <v>1242</v>
      </c>
      <c r="R86" s="595" t="s">
        <v>1287</v>
      </c>
      <c r="S86" s="595" t="s">
        <v>1243</v>
      </c>
      <c r="T86" s="595" t="s">
        <v>1288</v>
      </c>
      <c r="U86" s="595" t="s">
        <v>1241</v>
      </c>
      <c r="V86" s="595" t="s">
        <v>1274</v>
      </c>
      <c r="W86" s="595" t="s">
        <v>1289</v>
      </c>
      <c r="X86" s="595" t="s">
        <v>1276</v>
      </c>
      <c r="Y86" s="595" t="s">
        <v>1290</v>
      </c>
      <c r="Z86" s="595" t="s">
        <v>1241</v>
      </c>
      <c r="AA86" s="595" t="s">
        <v>151</v>
      </c>
      <c r="AB86" s="594">
        <v>10080865</v>
      </c>
    </row>
    <row r="87" spans="1:28" x14ac:dyDescent="0.25">
      <c r="A87" s="25" t="str">
        <f t="shared" si="1"/>
        <v>St George's Catholic Voluntary Academy</v>
      </c>
      <c r="B87" s="594">
        <v>138666</v>
      </c>
      <c r="C87" s="595" t="s">
        <v>1233</v>
      </c>
      <c r="D87" s="595" t="s">
        <v>1234</v>
      </c>
      <c r="E87" s="594">
        <v>3531</v>
      </c>
      <c r="F87" s="595" t="s">
        <v>128</v>
      </c>
      <c r="G87" s="595" t="s">
        <v>1278</v>
      </c>
      <c r="H87" s="595" t="s">
        <v>1237</v>
      </c>
      <c r="I87" s="595" t="s">
        <v>1284</v>
      </c>
      <c r="J87" s="595" t="s">
        <v>151</v>
      </c>
      <c r="K87" s="595" t="s">
        <v>267</v>
      </c>
      <c r="L87" s="594">
        <v>5</v>
      </c>
      <c r="M87" s="594">
        <v>11</v>
      </c>
      <c r="N87" s="595" t="s">
        <v>1239</v>
      </c>
      <c r="O87" s="595" t="s">
        <v>1258</v>
      </c>
      <c r="P87" s="595" t="s">
        <v>1257</v>
      </c>
      <c r="Q87" s="595" t="s">
        <v>1242</v>
      </c>
      <c r="R87" s="595" t="s">
        <v>1287</v>
      </c>
      <c r="S87" s="595" t="s">
        <v>1243</v>
      </c>
      <c r="T87" s="595" t="s">
        <v>1288</v>
      </c>
      <c r="U87" s="595" t="s">
        <v>1241</v>
      </c>
      <c r="V87" s="595" t="s">
        <v>1274</v>
      </c>
      <c r="W87" s="595" t="s">
        <v>1289</v>
      </c>
      <c r="X87" s="595" t="s">
        <v>1276</v>
      </c>
      <c r="Y87" s="595" t="s">
        <v>1290</v>
      </c>
      <c r="Z87" s="595" t="s">
        <v>1241</v>
      </c>
      <c r="AA87" s="595" t="s">
        <v>151</v>
      </c>
      <c r="AB87" s="594">
        <v>10038168</v>
      </c>
    </row>
    <row r="88" spans="1:28" x14ac:dyDescent="0.25">
      <c r="A88" s="25" t="str">
        <f t="shared" si="1"/>
        <v>St James' Church of England Aided Infant School</v>
      </c>
      <c r="B88" s="594">
        <v>112915</v>
      </c>
      <c r="C88" s="595" t="s">
        <v>1233</v>
      </c>
      <c r="D88" s="595" t="s">
        <v>1234</v>
      </c>
      <c r="E88" s="594">
        <v>3526</v>
      </c>
      <c r="F88" s="595" t="s">
        <v>83</v>
      </c>
      <c r="G88" s="595" t="s">
        <v>1260</v>
      </c>
      <c r="H88" s="595" t="s">
        <v>1237</v>
      </c>
      <c r="I88" s="595" t="s">
        <v>151</v>
      </c>
      <c r="J88" s="595" t="s">
        <v>151</v>
      </c>
      <c r="K88" s="595" t="s">
        <v>267</v>
      </c>
      <c r="L88" s="594">
        <v>2</v>
      </c>
      <c r="M88" s="594">
        <v>7</v>
      </c>
      <c r="N88" s="595" t="s">
        <v>1239</v>
      </c>
      <c r="O88" s="595" t="s">
        <v>1240</v>
      </c>
      <c r="P88" s="595" t="s">
        <v>1257</v>
      </c>
      <c r="Q88" s="595" t="s">
        <v>1242</v>
      </c>
      <c r="R88" s="595" t="s">
        <v>1261</v>
      </c>
      <c r="S88" s="595" t="s">
        <v>1243</v>
      </c>
      <c r="T88" s="595" t="s">
        <v>1262</v>
      </c>
      <c r="U88" s="595" t="s">
        <v>1241</v>
      </c>
      <c r="V88" s="595" t="s">
        <v>1241</v>
      </c>
      <c r="W88" s="595" t="s">
        <v>151</v>
      </c>
      <c r="X88" s="595" t="s">
        <v>1241</v>
      </c>
      <c r="Y88" s="595" t="s">
        <v>151</v>
      </c>
      <c r="Z88" s="595" t="s">
        <v>1244</v>
      </c>
      <c r="AA88" s="595" t="s">
        <v>151</v>
      </c>
      <c r="AB88" s="594">
        <v>10080361</v>
      </c>
    </row>
    <row r="89" spans="1:28" x14ac:dyDescent="0.25">
      <c r="A89" s="25" t="str">
        <f t="shared" si="1"/>
        <v>St James' Church of England Aided Junior School</v>
      </c>
      <c r="B89" s="594">
        <v>148368</v>
      </c>
      <c r="C89" s="595" t="s">
        <v>1233</v>
      </c>
      <c r="D89" s="595" t="s">
        <v>1234</v>
      </c>
      <c r="E89" s="594">
        <v>3535</v>
      </c>
      <c r="F89" s="595" t="s">
        <v>130</v>
      </c>
      <c r="G89" s="595" t="s">
        <v>1278</v>
      </c>
      <c r="H89" s="595" t="s">
        <v>1237</v>
      </c>
      <c r="I89" s="595" t="s">
        <v>1342</v>
      </c>
      <c r="J89" s="595" t="s">
        <v>151</v>
      </c>
      <c r="K89" s="595" t="s">
        <v>267</v>
      </c>
      <c r="L89" s="594">
        <v>7</v>
      </c>
      <c r="M89" s="594">
        <v>11</v>
      </c>
      <c r="N89" s="595" t="s">
        <v>1239</v>
      </c>
      <c r="O89" s="595" t="s">
        <v>1258</v>
      </c>
      <c r="P89" s="595" t="s">
        <v>1257</v>
      </c>
      <c r="Q89" s="595" t="s">
        <v>1242</v>
      </c>
      <c r="R89" s="595" t="s">
        <v>1261</v>
      </c>
      <c r="S89" s="595" t="s">
        <v>1243</v>
      </c>
      <c r="T89" s="595" t="s">
        <v>1262</v>
      </c>
      <c r="U89" s="595" t="s">
        <v>1241</v>
      </c>
      <c r="V89" s="595" t="s">
        <v>1274</v>
      </c>
      <c r="W89" s="595" t="s">
        <v>1299</v>
      </c>
      <c r="X89" s="595" t="s">
        <v>1276</v>
      </c>
      <c r="Y89" s="595" t="s">
        <v>1300</v>
      </c>
      <c r="Z89" s="595" t="s">
        <v>1241</v>
      </c>
      <c r="AA89" s="595" t="s">
        <v>151</v>
      </c>
      <c r="AB89" s="594">
        <v>10087571</v>
      </c>
    </row>
    <row r="90" spans="1:28" x14ac:dyDescent="0.25">
      <c r="A90" s="25" t="str">
        <f t="shared" si="1"/>
        <v>St John Fisher Catholic Voluntary Academy</v>
      </c>
      <c r="B90" s="594">
        <v>138514</v>
      </c>
      <c r="C90" s="595" t="s">
        <v>1233</v>
      </c>
      <c r="D90" s="595" t="s">
        <v>1234</v>
      </c>
      <c r="E90" s="594">
        <v>2008</v>
      </c>
      <c r="F90" s="595" t="s">
        <v>92</v>
      </c>
      <c r="G90" s="595" t="s">
        <v>1272</v>
      </c>
      <c r="H90" s="595" t="s">
        <v>1237</v>
      </c>
      <c r="I90" s="595" t="s">
        <v>1284</v>
      </c>
      <c r="J90" s="595" t="s">
        <v>151</v>
      </c>
      <c r="K90" s="595" t="s">
        <v>267</v>
      </c>
      <c r="L90" s="594">
        <v>4</v>
      </c>
      <c r="M90" s="594">
        <v>11</v>
      </c>
      <c r="N90" s="595" t="s">
        <v>1239</v>
      </c>
      <c r="O90" s="595" t="s">
        <v>1241</v>
      </c>
      <c r="P90" s="595" t="s">
        <v>1241</v>
      </c>
      <c r="Q90" s="595" t="s">
        <v>1242</v>
      </c>
      <c r="R90" s="595" t="s">
        <v>1287</v>
      </c>
      <c r="S90" s="595" t="s">
        <v>1265</v>
      </c>
      <c r="T90" s="595" t="s">
        <v>1288</v>
      </c>
      <c r="U90" s="595" t="s">
        <v>1241</v>
      </c>
      <c r="V90" s="595" t="s">
        <v>1274</v>
      </c>
      <c r="W90" s="595" t="s">
        <v>1289</v>
      </c>
      <c r="X90" s="595" t="s">
        <v>1276</v>
      </c>
      <c r="Y90" s="595" t="s">
        <v>1290</v>
      </c>
      <c r="Z90" s="595" t="s">
        <v>1241</v>
      </c>
      <c r="AA90" s="595" t="s">
        <v>151</v>
      </c>
      <c r="AB90" s="594">
        <v>10038458</v>
      </c>
    </row>
    <row r="91" spans="1:28" x14ac:dyDescent="0.25">
      <c r="A91" s="25" t="str">
        <f t="shared" si="1"/>
        <v>St Joseph's Catholic Voluntary Academy</v>
      </c>
      <c r="B91" s="594">
        <v>146104</v>
      </c>
      <c r="C91" s="595" t="s">
        <v>1233</v>
      </c>
      <c r="D91" s="595" t="s">
        <v>1234</v>
      </c>
      <c r="E91" s="594">
        <v>3542</v>
      </c>
      <c r="F91" s="595" t="s">
        <v>131</v>
      </c>
      <c r="G91" s="595" t="s">
        <v>1278</v>
      </c>
      <c r="H91" s="595" t="s">
        <v>1237</v>
      </c>
      <c r="I91" s="595" t="s">
        <v>1322</v>
      </c>
      <c r="J91" s="595" t="s">
        <v>151</v>
      </c>
      <c r="K91" s="595" t="s">
        <v>267</v>
      </c>
      <c r="L91" s="594">
        <v>4</v>
      </c>
      <c r="M91" s="594">
        <v>11</v>
      </c>
      <c r="N91" s="595" t="s">
        <v>1239</v>
      </c>
      <c r="O91" s="595" t="s">
        <v>1258</v>
      </c>
      <c r="P91" s="595" t="s">
        <v>1257</v>
      </c>
      <c r="Q91" s="595" t="s">
        <v>1242</v>
      </c>
      <c r="R91" s="595" t="s">
        <v>1287</v>
      </c>
      <c r="S91" s="595" t="s">
        <v>1243</v>
      </c>
      <c r="T91" s="595" t="s">
        <v>1288</v>
      </c>
      <c r="U91" s="595" t="s">
        <v>1241</v>
      </c>
      <c r="V91" s="595" t="s">
        <v>1274</v>
      </c>
      <c r="W91" s="595" t="s">
        <v>1289</v>
      </c>
      <c r="X91" s="595" t="s">
        <v>1276</v>
      </c>
      <c r="Y91" s="595" t="s">
        <v>1290</v>
      </c>
      <c r="Z91" s="595" t="s">
        <v>1241</v>
      </c>
      <c r="AA91" s="595" t="s">
        <v>151</v>
      </c>
      <c r="AB91" s="594">
        <v>10068517</v>
      </c>
    </row>
    <row r="92" spans="1:28" x14ac:dyDescent="0.25">
      <c r="A92" s="25" t="str">
        <f t="shared" si="1"/>
        <v>St Mary's Catholic Voluntary Academy</v>
      </c>
      <c r="B92" s="594">
        <v>146140</v>
      </c>
      <c r="C92" s="595" t="s">
        <v>1233</v>
      </c>
      <c r="D92" s="595" t="s">
        <v>1234</v>
      </c>
      <c r="E92" s="594">
        <v>3528</v>
      </c>
      <c r="F92" s="595" t="s">
        <v>126</v>
      </c>
      <c r="G92" s="595" t="s">
        <v>1278</v>
      </c>
      <c r="H92" s="595" t="s">
        <v>1237</v>
      </c>
      <c r="I92" s="595" t="s">
        <v>1322</v>
      </c>
      <c r="J92" s="595" t="s">
        <v>151</v>
      </c>
      <c r="K92" s="595" t="s">
        <v>267</v>
      </c>
      <c r="L92" s="594">
        <v>3</v>
      </c>
      <c r="M92" s="594">
        <v>11</v>
      </c>
      <c r="N92" s="595" t="s">
        <v>1239</v>
      </c>
      <c r="O92" s="595" t="s">
        <v>1240</v>
      </c>
      <c r="P92" s="595" t="s">
        <v>1257</v>
      </c>
      <c r="Q92" s="595" t="s">
        <v>1242</v>
      </c>
      <c r="R92" s="595" t="s">
        <v>1287</v>
      </c>
      <c r="S92" s="595" t="s">
        <v>1243</v>
      </c>
      <c r="T92" s="595" t="s">
        <v>1288</v>
      </c>
      <c r="U92" s="595" t="s">
        <v>1241</v>
      </c>
      <c r="V92" s="595" t="s">
        <v>1274</v>
      </c>
      <c r="W92" s="595" t="s">
        <v>1289</v>
      </c>
      <c r="X92" s="595" t="s">
        <v>1276</v>
      </c>
      <c r="Y92" s="595" t="s">
        <v>1290</v>
      </c>
      <c r="Z92" s="595" t="s">
        <v>1241</v>
      </c>
      <c r="AA92" s="595" t="s">
        <v>151</v>
      </c>
      <c r="AB92" s="594">
        <v>10080864</v>
      </c>
    </row>
    <row r="93" spans="1:28" x14ac:dyDescent="0.25">
      <c r="A93" s="25" t="str">
        <f t="shared" si="1"/>
        <v>St Peter's Church of England Aided Junior School</v>
      </c>
      <c r="B93" s="594">
        <v>147725</v>
      </c>
      <c r="C93" s="595" t="s">
        <v>1233</v>
      </c>
      <c r="D93" s="595" t="s">
        <v>1234</v>
      </c>
      <c r="E93" s="594">
        <v>2025</v>
      </c>
      <c r="F93" s="595" t="s">
        <v>108</v>
      </c>
      <c r="G93" s="595" t="s">
        <v>1272</v>
      </c>
      <c r="H93" s="595" t="s">
        <v>1237</v>
      </c>
      <c r="I93" s="595" t="s">
        <v>1341</v>
      </c>
      <c r="J93" s="595" t="s">
        <v>151</v>
      </c>
      <c r="K93" s="595" t="s">
        <v>267</v>
      </c>
      <c r="L93" s="594">
        <v>7</v>
      </c>
      <c r="M93" s="594">
        <v>11</v>
      </c>
      <c r="N93" s="595" t="s">
        <v>1239</v>
      </c>
      <c r="O93" s="595" t="s">
        <v>1258</v>
      </c>
      <c r="P93" s="595" t="s">
        <v>1257</v>
      </c>
      <c r="Q93" s="595" t="s">
        <v>1242</v>
      </c>
      <c r="R93" s="595" t="s">
        <v>1261</v>
      </c>
      <c r="S93" s="595" t="s">
        <v>1261</v>
      </c>
      <c r="T93" s="595" t="s">
        <v>1262</v>
      </c>
      <c r="U93" s="595" t="s">
        <v>1241</v>
      </c>
      <c r="V93" s="595" t="s">
        <v>1274</v>
      </c>
      <c r="W93" s="595" t="s">
        <v>1299</v>
      </c>
      <c r="X93" s="595" t="s">
        <v>1276</v>
      </c>
      <c r="Y93" s="595" t="s">
        <v>1300</v>
      </c>
      <c r="Z93" s="595" t="s">
        <v>1241</v>
      </c>
      <c r="AA93" s="595" t="s">
        <v>151</v>
      </c>
      <c r="AB93" s="594">
        <v>10085580</v>
      </c>
    </row>
    <row r="94" spans="1:28" x14ac:dyDescent="0.25">
      <c r="A94" s="25" t="str">
        <f t="shared" si="1"/>
        <v>St Werburgh's CofE Primary School</v>
      </c>
      <c r="B94" s="594">
        <v>147490</v>
      </c>
      <c r="C94" s="595" t="s">
        <v>1233</v>
      </c>
      <c r="D94" s="595" t="s">
        <v>1234</v>
      </c>
      <c r="E94" s="594">
        <v>3532</v>
      </c>
      <c r="F94" s="595" t="s">
        <v>129</v>
      </c>
      <c r="G94" s="595" t="s">
        <v>1278</v>
      </c>
      <c r="H94" s="595" t="s">
        <v>1237</v>
      </c>
      <c r="I94" s="595" t="s">
        <v>1339</v>
      </c>
      <c r="J94" s="595" t="s">
        <v>151</v>
      </c>
      <c r="K94" s="595" t="s">
        <v>267</v>
      </c>
      <c r="L94" s="594">
        <v>4</v>
      </c>
      <c r="M94" s="594">
        <v>11</v>
      </c>
      <c r="N94" s="595" t="s">
        <v>1239</v>
      </c>
      <c r="O94" s="595" t="s">
        <v>1258</v>
      </c>
      <c r="P94" s="595" t="s">
        <v>1257</v>
      </c>
      <c r="Q94" s="595" t="s">
        <v>1242</v>
      </c>
      <c r="R94" s="595" t="s">
        <v>1261</v>
      </c>
      <c r="S94" s="595" t="s">
        <v>1243</v>
      </c>
      <c r="T94" s="595" t="s">
        <v>1262</v>
      </c>
      <c r="U94" s="595" t="s">
        <v>1241</v>
      </c>
      <c r="V94" s="595" t="s">
        <v>1274</v>
      </c>
      <c r="W94" s="595" t="s">
        <v>1299</v>
      </c>
      <c r="X94" s="595" t="s">
        <v>1276</v>
      </c>
      <c r="Y94" s="595" t="s">
        <v>1300</v>
      </c>
      <c r="Z94" s="595" t="s">
        <v>1241</v>
      </c>
      <c r="AA94" s="595" t="s">
        <v>151</v>
      </c>
      <c r="AB94" s="594">
        <v>10084476</v>
      </c>
    </row>
    <row r="95" spans="1:28" x14ac:dyDescent="0.25">
      <c r="A95" s="25" t="str">
        <f t="shared" si="1"/>
        <v>Stonehill Nursery School</v>
      </c>
      <c r="B95" s="594">
        <v>112476</v>
      </c>
      <c r="C95" s="595" t="s">
        <v>1233</v>
      </c>
      <c r="D95" s="595" t="s">
        <v>1234</v>
      </c>
      <c r="E95" s="594">
        <v>1010</v>
      </c>
      <c r="F95" s="595" t="s">
        <v>1253</v>
      </c>
      <c r="G95" s="595" t="s">
        <v>1236</v>
      </c>
      <c r="H95" s="595" t="s">
        <v>1237</v>
      </c>
      <c r="I95" s="595" t="s">
        <v>151</v>
      </c>
      <c r="J95" s="595" t="s">
        <v>151</v>
      </c>
      <c r="K95" s="595" t="s">
        <v>1238</v>
      </c>
      <c r="L95" s="594">
        <v>2</v>
      </c>
      <c r="M95" s="594">
        <v>5</v>
      </c>
      <c r="N95" s="595" t="s">
        <v>1239</v>
      </c>
      <c r="O95" s="595" t="s">
        <v>1240</v>
      </c>
      <c r="P95" s="595" t="s">
        <v>1241</v>
      </c>
      <c r="Q95" s="595" t="s">
        <v>1242</v>
      </c>
      <c r="R95" s="595" t="s">
        <v>1243</v>
      </c>
      <c r="S95" s="595" t="s">
        <v>1243</v>
      </c>
      <c r="T95" s="595" t="s">
        <v>1241</v>
      </c>
      <c r="U95" s="595" t="s">
        <v>1241</v>
      </c>
      <c r="V95" s="595" t="s">
        <v>1241</v>
      </c>
      <c r="W95" s="595" t="s">
        <v>151</v>
      </c>
      <c r="X95" s="595" t="s">
        <v>1241</v>
      </c>
      <c r="Y95" s="595" t="s">
        <v>151</v>
      </c>
      <c r="Z95" s="595" t="s">
        <v>1244</v>
      </c>
      <c r="AA95" s="595" t="s">
        <v>151</v>
      </c>
      <c r="AB95" s="595" t="s">
        <v>151</v>
      </c>
    </row>
    <row r="96" spans="1:28" x14ac:dyDescent="0.25">
      <c r="A96" s="25" t="str">
        <f t="shared" si="1"/>
        <v>The Bemrose School</v>
      </c>
      <c r="B96" s="594">
        <v>112951</v>
      </c>
      <c r="C96" s="595" t="s">
        <v>1233</v>
      </c>
      <c r="D96" s="595" t="s">
        <v>1234</v>
      </c>
      <c r="E96" s="594">
        <v>4177</v>
      </c>
      <c r="F96" s="595" t="s">
        <v>87</v>
      </c>
      <c r="G96" s="595" t="s">
        <v>1263</v>
      </c>
      <c r="H96" s="595" t="s">
        <v>1237</v>
      </c>
      <c r="I96" s="595" t="s">
        <v>151</v>
      </c>
      <c r="J96" s="595" t="s">
        <v>151</v>
      </c>
      <c r="K96" s="595" t="s">
        <v>769</v>
      </c>
      <c r="L96" s="594">
        <v>3</v>
      </c>
      <c r="M96" s="594">
        <v>19</v>
      </c>
      <c r="N96" s="595" t="s">
        <v>1239</v>
      </c>
      <c r="O96" s="595" t="s">
        <v>1240</v>
      </c>
      <c r="P96" s="595" t="s">
        <v>1264</v>
      </c>
      <c r="Q96" s="595" t="s">
        <v>1242</v>
      </c>
      <c r="R96" s="595" t="s">
        <v>1265</v>
      </c>
      <c r="S96" s="595" t="s">
        <v>1243</v>
      </c>
      <c r="T96" s="595" t="s">
        <v>1241</v>
      </c>
      <c r="U96" s="595" t="s">
        <v>1266</v>
      </c>
      <c r="V96" s="595" t="s">
        <v>1267</v>
      </c>
      <c r="W96" s="595" t="s">
        <v>1268</v>
      </c>
      <c r="X96" s="595" t="s">
        <v>1241</v>
      </c>
      <c r="Y96" s="595" t="s">
        <v>151</v>
      </c>
      <c r="Z96" s="595" t="s">
        <v>1244</v>
      </c>
      <c r="AA96" s="595" t="s">
        <v>151</v>
      </c>
      <c r="AB96" s="594">
        <v>10015007</v>
      </c>
    </row>
    <row r="97" spans="1:28" x14ac:dyDescent="0.25">
      <c r="A97" s="25" t="str">
        <f t="shared" si="1"/>
        <v>UTC Derby Pride Park</v>
      </c>
      <c r="B97" s="594">
        <v>147685</v>
      </c>
      <c r="C97" s="595" t="s">
        <v>1233</v>
      </c>
      <c r="D97" s="595" t="s">
        <v>1234</v>
      </c>
      <c r="E97" s="594">
        <v>4010</v>
      </c>
      <c r="F97" s="595" t="s">
        <v>143</v>
      </c>
      <c r="G97" s="595"/>
      <c r="H97" s="595"/>
      <c r="I97" s="595"/>
      <c r="J97" s="595"/>
      <c r="K97" s="595"/>
      <c r="L97" s="594"/>
      <c r="M97" s="594"/>
      <c r="N97" s="595"/>
      <c r="O97" s="595"/>
      <c r="P97" s="595"/>
      <c r="Q97" s="595"/>
      <c r="R97" s="595"/>
      <c r="S97" s="595"/>
      <c r="T97" s="595"/>
      <c r="U97" s="595"/>
      <c r="V97" s="595"/>
      <c r="W97" s="595"/>
      <c r="X97" s="595"/>
      <c r="Y97" s="595"/>
      <c r="Z97" s="595"/>
      <c r="AA97" s="595"/>
      <c r="AB97" s="594"/>
    </row>
    <row r="98" spans="1:28" x14ac:dyDescent="0.25">
      <c r="A98" s="25" t="str">
        <f t="shared" si="1"/>
        <v>Village Primary Academy</v>
      </c>
      <c r="B98" s="594">
        <v>145760</v>
      </c>
      <c r="C98" s="595" t="s">
        <v>1233</v>
      </c>
      <c r="D98" s="595" t="s">
        <v>1234</v>
      </c>
      <c r="E98" s="594">
        <v>3546</v>
      </c>
      <c r="F98" s="595" t="s">
        <v>134</v>
      </c>
      <c r="G98" s="595" t="s">
        <v>1278</v>
      </c>
      <c r="H98" s="595" t="s">
        <v>1237</v>
      </c>
      <c r="I98" s="595" t="s">
        <v>1323</v>
      </c>
      <c r="J98" s="595" t="s">
        <v>151</v>
      </c>
      <c r="K98" s="595" t="s">
        <v>267</v>
      </c>
      <c r="L98" s="594">
        <v>2</v>
      </c>
      <c r="M98" s="594">
        <v>11</v>
      </c>
      <c r="N98" s="595" t="s">
        <v>1239</v>
      </c>
      <c r="O98" s="595" t="s">
        <v>1240</v>
      </c>
      <c r="P98" s="595" t="s">
        <v>1257</v>
      </c>
      <c r="Q98" s="595" t="s">
        <v>1242</v>
      </c>
      <c r="R98" s="595" t="s">
        <v>1243</v>
      </c>
      <c r="S98" s="595" t="s">
        <v>1243</v>
      </c>
      <c r="T98" s="595" t="s">
        <v>1241</v>
      </c>
      <c r="U98" s="595" t="s">
        <v>1241</v>
      </c>
      <c r="V98" s="595" t="s">
        <v>1274</v>
      </c>
      <c r="W98" s="595" t="s">
        <v>1316</v>
      </c>
      <c r="X98" s="595" t="s">
        <v>1276</v>
      </c>
      <c r="Y98" s="595" t="s">
        <v>1317</v>
      </c>
      <c r="Z98" s="595" t="s">
        <v>1241</v>
      </c>
      <c r="AA98" s="595" t="s">
        <v>151</v>
      </c>
      <c r="AB98" s="594">
        <v>10067562</v>
      </c>
    </row>
    <row r="99" spans="1:28" x14ac:dyDescent="0.25">
      <c r="A99" s="25" t="str">
        <f t="shared" si="1"/>
        <v>Walbrook Nursery School</v>
      </c>
      <c r="B99" s="594">
        <v>112475</v>
      </c>
      <c r="C99" s="595" t="s">
        <v>1233</v>
      </c>
      <c r="D99" s="595" t="s">
        <v>1234</v>
      </c>
      <c r="E99" s="594">
        <v>1009</v>
      </c>
      <c r="F99" s="595" t="s">
        <v>1249</v>
      </c>
      <c r="G99" s="595" t="s">
        <v>1236</v>
      </c>
      <c r="H99" s="595" t="s">
        <v>1250</v>
      </c>
      <c r="I99" s="595" t="s">
        <v>151</v>
      </c>
      <c r="J99" s="595" t="s">
        <v>1251</v>
      </c>
      <c r="K99" s="595" t="s">
        <v>1238</v>
      </c>
      <c r="L99" s="594">
        <v>2</v>
      </c>
      <c r="M99" s="594">
        <v>5</v>
      </c>
      <c r="N99" s="595" t="s">
        <v>1239</v>
      </c>
      <c r="O99" s="595" t="s">
        <v>1240</v>
      </c>
      <c r="P99" s="595" t="s">
        <v>1241</v>
      </c>
      <c r="Q99" s="595" t="s">
        <v>1242</v>
      </c>
      <c r="R99" s="595" t="s">
        <v>1243</v>
      </c>
      <c r="S99" s="595" t="s">
        <v>1243</v>
      </c>
      <c r="T99" s="595" t="s">
        <v>1241</v>
      </c>
      <c r="U99" s="595" t="s">
        <v>1241</v>
      </c>
      <c r="V99" s="595" t="s">
        <v>1241</v>
      </c>
      <c r="W99" s="595" t="s">
        <v>151</v>
      </c>
      <c r="X99" s="595" t="s">
        <v>1241</v>
      </c>
      <c r="Y99" s="595" t="s">
        <v>151</v>
      </c>
      <c r="Z99" s="595" t="s">
        <v>1246</v>
      </c>
      <c r="AA99" s="595" t="s">
        <v>1252</v>
      </c>
      <c r="AB99" s="595" t="s">
        <v>151</v>
      </c>
    </row>
    <row r="100" spans="1:28" x14ac:dyDescent="0.25">
      <c r="A100" s="25" t="str">
        <f t="shared" si="1"/>
        <v>Walter Evans Church of England Aided Primary School</v>
      </c>
      <c r="B100" s="594">
        <v>142752</v>
      </c>
      <c r="C100" s="595" t="s">
        <v>1233</v>
      </c>
      <c r="D100" s="595" t="s">
        <v>1234</v>
      </c>
      <c r="E100" s="594">
        <v>3530</v>
      </c>
      <c r="F100" s="595" t="s">
        <v>127</v>
      </c>
      <c r="G100" s="595" t="s">
        <v>1278</v>
      </c>
      <c r="H100" s="595" t="s">
        <v>1237</v>
      </c>
      <c r="I100" s="595" t="s">
        <v>1303</v>
      </c>
      <c r="J100" s="595" t="s">
        <v>151</v>
      </c>
      <c r="K100" s="595" t="s">
        <v>267</v>
      </c>
      <c r="L100" s="594">
        <v>3</v>
      </c>
      <c r="M100" s="594">
        <v>11</v>
      </c>
      <c r="N100" s="595" t="s">
        <v>1239</v>
      </c>
      <c r="O100" s="595" t="s">
        <v>1240</v>
      </c>
      <c r="P100" s="595" t="s">
        <v>1257</v>
      </c>
      <c r="Q100" s="595" t="s">
        <v>1242</v>
      </c>
      <c r="R100" s="595" t="s">
        <v>1261</v>
      </c>
      <c r="S100" s="595" t="s">
        <v>1243</v>
      </c>
      <c r="T100" s="595" t="s">
        <v>1262</v>
      </c>
      <c r="U100" s="595" t="s">
        <v>1241</v>
      </c>
      <c r="V100" s="595" t="s">
        <v>1274</v>
      </c>
      <c r="W100" s="595" t="s">
        <v>1299</v>
      </c>
      <c r="X100" s="595" t="s">
        <v>1276</v>
      </c>
      <c r="Y100" s="595" t="s">
        <v>1300</v>
      </c>
      <c r="Z100" s="595" t="s">
        <v>1241</v>
      </c>
      <c r="AA100" s="595" t="s">
        <v>151</v>
      </c>
      <c r="AB100" s="594">
        <v>10056154</v>
      </c>
    </row>
    <row r="101" spans="1:28" x14ac:dyDescent="0.25">
      <c r="A101" s="25" t="str">
        <f t="shared" si="1"/>
        <v>West Park School</v>
      </c>
      <c r="B101" s="594">
        <v>136634</v>
      </c>
      <c r="C101" s="595" t="s">
        <v>1233</v>
      </c>
      <c r="D101" s="595" t="s">
        <v>1234</v>
      </c>
      <c r="E101" s="594">
        <v>5412</v>
      </c>
      <c r="F101" s="595" t="s">
        <v>148</v>
      </c>
      <c r="G101" s="595" t="s">
        <v>1278</v>
      </c>
      <c r="H101" s="595" t="s">
        <v>1237</v>
      </c>
      <c r="I101" s="595" t="s">
        <v>1279</v>
      </c>
      <c r="J101" s="595" t="s">
        <v>151</v>
      </c>
      <c r="K101" s="595" t="s">
        <v>199</v>
      </c>
      <c r="L101" s="594">
        <v>11</v>
      </c>
      <c r="M101" s="594">
        <v>16</v>
      </c>
      <c r="N101" s="595" t="s">
        <v>1239</v>
      </c>
      <c r="O101" s="595" t="s">
        <v>1241</v>
      </c>
      <c r="P101" s="595" t="s">
        <v>1257</v>
      </c>
      <c r="Q101" s="595" t="s">
        <v>1242</v>
      </c>
      <c r="R101" s="595" t="s">
        <v>1265</v>
      </c>
      <c r="S101" s="595" t="s">
        <v>1243</v>
      </c>
      <c r="T101" s="595" t="s">
        <v>1241</v>
      </c>
      <c r="U101" s="595" t="s">
        <v>1266</v>
      </c>
      <c r="V101" s="595" t="s">
        <v>1280</v>
      </c>
      <c r="W101" s="595" t="s">
        <v>1281</v>
      </c>
      <c r="X101" s="595" t="s">
        <v>1282</v>
      </c>
      <c r="Y101" s="595" t="s">
        <v>151</v>
      </c>
      <c r="Z101" s="595" t="s">
        <v>1241</v>
      </c>
      <c r="AA101" s="595" t="s">
        <v>151</v>
      </c>
      <c r="AB101" s="594">
        <v>10033352</v>
      </c>
    </row>
    <row r="102" spans="1:28" x14ac:dyDescent="0.25">
      <c r="A102" s="25" t="str">
        <f t="shared" si="1"/>
        <v>Whitecross Nursery School</v>
      </c>
      <c r="B102" s="594">
        <v>112480</v>
      </c>
      <c r="C102" s="595" t="s">
        <v>1233</v>
      </c>
      <c r="D102" s="595" t="s">
        <v>1234</v>
      </c>
      <c r="E102" s="594">
        <v>1015</v>
      </c>
      <c r="F102" s="595" t="s">
        <v>1255</v>
      </c>
      <c r="G102" s="595" t="s">
        <v>1236</v>
      </c>
      <c r="H102" s="595" t="s">
        <v>1237</v>
      </c>
      <c r="I102" s="595" t="s">
        <v>151</v>
      </c>
      <c r="J102" s="595" t="s">
        <v>151</v>
      </c>
      <c r="K102" s="595" t="s">
        <v>1238</v>
      </c>
      <c r="L102" s="594">
        <v>2</v>
      </c>
      <c r="M102" s="594">
        <v>4</v>
      </c>
      <c r="N102" s="595" t="s">
        <v>1239</v>
      </c>
      <c r="O102" s="595" t="s">
        <v>1240</v>
      </c>
      <c r="P102" s="595" t="s">
        <v>1241</v>
      </c>
      <c r="Q102" s="595" t="s">
        <v>1242</v>
      </c>
      <c r="R102" s="595" t="s">
        <v>1243</v>
      </c>
      <c r="S102" s="595" t="s">
        <v>1243</v>
      </c>
      <c r="T102" s="595" t="s">
        <v>1241</v>
      </c>
      <c r="U102" s="595" t="s">
        <v>1241</v>
      </c>
      <c r="V102" s="595" t="s">
        <v>1241</v>
      </c>
      <c r="W102" s="595" t="s">
        <v>151</v>
      </c>
      <c r="X102" s="595" t="s">
        <v>1241</v>
      </c>
      <c r="Y102" s="595" t="s">
        <v>151</v>
      </c>
      <c r="Z102" s="595" t="s">
        <v>1244</v>
      </c>
      <c r="AA102" s="595" t="s">
        <v>151</v>
      </c>
      <c r="AB102" s="595" t="s">
        <v>151</v>
      </c>
    </row>
    <row r="103" spans="1:28" x14ac:dyDescent="0.25">
      <c r="A103" s="25" t="str">
        <f t="shared" si="1"/>
        <v>Wren Park Primary School</v>
      </c>
      <c r="B103" s="594">
        <v>112758</v>
      </c>
      <c r="C103" s="595" t="s">
        <v>1233</v>
      </c>
      <c r="D103" s="595" t="s">
        <v>1234</v>
      </c>
      <c r="E103" s="594">
        <v>2459</v>
      </c>
      <c r="F103" s="595" t="s">
        <v>77</v>
      </c>
      <c r="G103" s="595" t="s">
        <v>1256</v>
      </c>
      <c r="H103" s="595" t="s">
        <v>1237</v>
      </c>
      <c r="I103" s="595" t="s">
        <v>151</v>
      </c>
      <c r="J103" s="595" t="s">
        <v>151</v>
      </c>
      <c r="K103" s="595" t="s">
        <v>267</v>
      </c>
      <c r="L103" s="594">
        <v>4</v>
      </c>
      <c r="M103" s="594">
        <v>11</v>
      </c>
      <c r="N103" s="595" t="s">
        <v>1239</v>
      </c>
      <c r="O103" s="595" t="s">
        <v>1258</v>
      </c>
      <c r="P103" s="595" t="s">
        <v>1257</v>
      </c>
      <c r="Q103" s="595" t="s">
        <v>1242</v>
      </c>
      <c r="R103" s="595" t="s">
        <v>1243</v>
      </c>
      <c r="S103" s="595" t="s">
        <v>1243</v>
      </c>
      <c r="T103" s="595" t="s">
        <v>1241</v>
      </c>
      <c r="U103" s="595" t="s">
        <v>1241</v>
      </c>
      <c r="V103" s="595" t="s">
        <v>1241</v>
      </c>
      <c r="W103" s="595" t="s">
        <v>151</v>
      </c>
      <c r="X103" s="595" t="s">
        <v>1241</v>
      </c>
      <c r="Y103" s="595" t="s">
        <v>151</v>
      </c>
      <c r="Z103" s="595" t="s">
        <v>1244</v>
      </c>
      <c r="AA103" s="595" t="s">
        <v>151</v>
      </c>
      <c r="AB103" s="594">
        <v>10076128</v>
      </c>
    </row>
    <row r="104" spans="1:28" x14ac:dyDescent="0.25">
      <c r="A104" s="25" t="str">
        <f t="shared" si="1"/>
        <v>Wyndham Spencer Academy</v>
      </c>
      <c r="B104" s="594">
        <v>138443</v>
      </c>
      <c r="C104" s="595" t="s">
        <v>1233</v>
      </c>
      <c r="D104" s="595" t="s">
        <v>1234</v>
      </c>
      <c r="E104" s="594">
        <v>2007</v>
      </c>
      <c r="F104" s="595" t="s">
        <v>91</v>
      </c>
      <c r="G104" s="595" t="s">
        <v>1272</v>
      </c>
      <c r="H104" s="595" t="s">
        <v>1237</v>
      </c>
      <c r="I104" s="595" t="s">
        <v>1284</v>
      </c>
      <c r="J104" s="595" t="s">
        <v>151</v>
      </c>
      <c r="K104" s="595" t="s">
        <v>267</v>
      </c>
      <c r="L104" s="594">
        <v>3</v>
      </c>
      <c r="M104" s="594">
        <v>11</v>
      </c>
      <c r="N104" s="595" t="s">
        <v>1241</v>
      </c>
      <c r="O104" s="595" t="s">
        <v>1240</v>
      </c>
      <c r="P104" s="595" t="s">
        <v>1241</v>
      </c>
      <c r="Q104" s="595" t="s">
        <v>1242</v>
      </c>
      <c r="R104" s="595" t="s">
        <v>1265</v>
      </c>
      <c r="S104" s="595" t="s">
        <v>1265</v>
      </c>
      <c r="T104" s="595" t="s">
        <v>1241</v>
      </c>
      <c r="U104" s="595" t="s">
        <v>1241</v>
      </c>
      <c r="V104" s="595" t="s">
        <v>1274</v>
      </c>
      <c r="W104" s="595" t="s">
        <v>1285</v>
      </c>
      <c r="X104" s="595" t="s">
        <v>1276</v>
      </c>
      <c r="Y104" s="595" t="s">
        <v>1286</v>
      </c>
      <c r="Z104" s="595" t="s">
        <v>1241</v>
      </c>
      <c r="AA104" s="595" t="s">
        <v>151</v>
      </c>
      <c r="AB104" s="594">
        <v>10038402</v>
      </c>
    </row>
    <row r="105" spans="1:28" x14ac:dyDescent="0.25">
      <c r="A105" s="25" t="str">
        <f t="shared" si="1"/>
        <v>Zaytouna Primary School</v>
      </c>
      <c r="B105" s="594">
        <v>138776</v>
      </c>
      <c r="C105" s="595" t="s">
        <v>1233</v>
      </c>
      <c r="D105" s="595" t="s">
        <v>1234</v>
      </c>
      <c r="E105" s="594">
        <v>4000</v>
      </c>
      <c r="F105" s="595" t="s">
        <v>135</v>
      </c>
      <c r="G105" s="595" t="s">
        <v>1291</v>
      </c>
      <c r="H105" s="595" t="s">
        <v>1237</v>
      </c>
      <c r="I105" s="595" t="s">
        <v>1284</v>
      </c>
      <c r="J105" s="595" t="s">
        <v>151</v>
      </c>
      <c r="K105" s="595" t="s">
        <v>267</v>
      </c>
      <c r="L105" s="594">
        <v>4</v>
      </c>
      <c r="M105" s="594">
        <v>11</v>
      </c>
      <c r="N105" s="595" t="s">
        <v>1241</v>
      </c>
      <c r="O105" s="595" t="s">
        <v>1258</v>
      </c>
      <c r="P105" s="595" t="s">
        <v>1257</v>
      </c>
      <c r="Q105" s="595" t="s">
        <v>1242</v>
      </c>
      <c r="R105" s="595" t="s">
        <v>1292</v>
      </c>
      <c r="S105" s="595" t="s">
        <v>1265</v>
      </c>
      <c r="T105" s="595" t="s">
        <v>1241</v>
      </c>
      <c r="U105" s="595" t="s">
        <v>1241</v>
      </c>
      <c r="V105" s="595" t="s">
        <v>1274</v>
      </c>
      <c r="W105" s="595" t="s">
        <v>1293</v>
      </c>
      <c r="X105" s="595" t="s">
        <v>1276</v>
      </c>
      <c r="Y105" s="595" t="s">
        <v>1294</v>
      </c>
      <c r="Z105" s="595" t="s">
        <v>1241</v>
      </c>
      <c r="AA105" s="595" t="s">
        <v>151</v>
      </c>
      <c r="AB105" s="594">
        <v>10038797</v>
      </c>
    </row>
  </sheetData>
  <sheetProtection autoFilter="0"/>
  <autoFilter ref="A6:AB105" xr:uid="{9F6B530A-5013-498B-8275-ACCD06914533}"/>
  <sortState xmlns:xlrd2="http://schemas.microsoft.com/office/spreadsheetml/2017/richdata2" ref="B7:AB105">
    <sortCondition ref="F9:F105"/>
  </sortState>
  <hyperlinks>
    <hyperlink ref="B5" r:id="rId1" display="https://get-information-schools.service.gov.uk/Search?SelectedTab=Establishments" xr:uid="{1AD80457-F0E3-4C43-B49B-109637ED0F6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7030A0"/>
  </sheetPr>
  <dimension ref="A1:H315"/>
  <sheetViews>
    <sheetView topLeftCell="A6" zoomScaleNormal="100" workbookViewId="0">
      <selection activeCell="C1" sqref="C1"/>
    </sheetView>
  </sheetViews>
  <sheetFormatPr defaultRowHeight="12.5" x14ac:dyDescent="0.25"/>
  <cols>
    <col min="1" max="1" width="70.7265625" style="2" bestFit="1" customWidth="1"/>
    <col min="2" max="2" width="14.453125" style="8" customWidth="1"/>
    <col min="3" max="4" width="12.26953125" style="8" customWidth="1"/>
    <col min="5" max="222" width="9.1796875" style="2"/>
    <col min="223" max="223" width="61.54296875" style="2" customWidth="1"/>
    <col min="224" max="224" width="17.7265625" style="2" customWidth="1"/>
    <col min="225" max="225" width="19.81640625" style="2" customWidth="1"/>
    <col min="226" max="226" width="11.54296875" style="2" customWidth="1"/>
    <col min="227" max="478" width="9.1796875" style="2"/>
    <col min="479" max="479" width="61.54296875" style="2" customWidth="1"/>
    <col min="480" max="480" width="17.7265625" style="2" customWidth="1"/>
    <col min="481" max="481" width="19.81640625" style="2" customWidth="1"/>
    <col min="482" max="482" width="11.54296875" style="2" customWidth="1"/>
    <col min="483" max="734" width="9.1796875" style="2"/>
    <col min="735" max="735" width="61.54296875" style="2" customWidth="1"/>
    <col min="736" max="736" width="17.7265625" style="2" customWidth="1"/>
    <col min="737" max="737" width="19.81640625" style="2" customWidth="1"/>
    <col min="738" max="738" width="11.54296875" style="2" customWidth="1"/>
    <col min="739" max="990" width="9.1796875" style="2"/>
    <col min="991" max="991" width="61.54296875" style="2" customWidth="1"/>
    <col min="992" max="992" width="17.7265625" style="2" customWidth="1"/>
    <col min="993" max="993" width="19.81640625" style="2" customWidth="1"/>
    <col min="994" max="994" width="11.54296875" style="2" customWidth="1"/>
    <col min="995" max="1246" width="9.1796875" style="2"/>
    <col min="1247" max="1247" width="61.54296875" style="2" customWidth="1"/>
    <col min="1248" max="1248" width="17.7265625" style="2" customWidth="1"/>
    <col min="1249" max="1249" width="19.81640625" style="2" customWidth="1"/>
    <col min="1250" max="1250" width="11.54296875" style="2" customWidth="1"/>
    <col min="1251" max="1502" width="9.1796875" style="2"/>
    <col min="1503" max="1503" width="61.54296875" style="2" customWidth="1"/>
    <col min="1504" max="1504" width="17.7265625" style="2" customWidth="1"/>
    <col min="1505" max="1505" width="19.81640625" style="2" customWidth="1"/>
    <col min="1506" max="1506" width="11.54296875" style="2" customWidth="1"/>
    <col min="1507" max="1758" width="9.1796875" style="2"/>
    <col min="1759" max="1759" width="61.54296875" style="2" customWidth="1"/>
    <col min="1760" max="1760" width="17.7265625" style="2" customWidth="1"/>
    <col min="1761" max="1761" width="19.81640625" style="2" customWidth="1"/>
    <col min="1762" max="1762" width="11.54296875" style="2" customWidth="1"/>
    <col min="1763" max="2014" width="9.1796875" style="2"/>
    <col min="2015" max="2015" width="61.54296875" style="2" customWidth="1"/>
    <col min="2016" max="2016" width="17.7265625" style="2" customWidth="1"/>
    <col min="2017" max="2017" width="19.81640625" style="2" customWidth="1"/>
    <col min="2018" max="2018" width="11.54296875" style="2" customWidth="1"/>
    <col min="2019" max="2270" width="9.1796875" style="2"/>
    <col min="2271" max="2271" width="61.54296875" style="2" customWidth="1"/>
    <col min="2272" max="2272" width="17.7265625" style="2" customWidth="1"/>
    <col min="2273" max="2273" width="19.81640625" style="2" customWidth="1"/>
    <col min="2274" max="2274" width="11.54296875" style="2" customWidth="1"/>
    <col min="2275" max="2526" width="9.1796875" style="2"/>
    <col min="2527" max="2527" width="61.54296875" style="2" customWidth="1"/>
    <col min="2528" max="2528" width="17.7265625" style="2" customWidth="1"/>
    <col min="2529" max="2529" width="19.81640625" style="2" customWidth="1"/>
    <col min="2530" max="2530" width="11.54296875" style="2" customWidth="1"/>
    <col min="2531" max="2782" width="9.1796875" style="2"/>
    <col min="2783" max="2783" width="61.54296875" style="2" customWidth="1"/>
    <col min="2784" max="2784" width="17.7265625" style="2" customWidth="1"/>
    <col min="2785" max="2785" width="19.81640625" style="2" customWidth="1"/>
    <col min="2786" max="2786" width="11.54296875" style="2" customWidth="1"/>
    <col min="2787" max="3038" width="9.1796875" style="2"/>
    <col min="3039" max="3039" width="61.54296875" style="2" customWidth="1"/>
    <col min="3040" max="3040" width="17.7265625" style="2" customWidth="1"/>
    <col min="3041" max="3041" width="19.81640625" style="2" customWidth="1"/>
    <col min="3042" max="3042" width="11.54296875" style="2" customWidth="1"/>
    <col min="3043" max="3294" width="9.1796875" style="2"/>
    <col min="3295" max="3295" width="61.54296875" style="2" customWidth="1"/>
    <col min="3296" max="3296" width="17.7265625" style="2" customWidth="1"/>
    <col min="3297" max="3297" width="19.81640625" style="2" customWidth="1"/>
    <col min="3298" max="3298" width="11.54296875" style="2" customWidth="1"/>
    <col min="3299" max="3550" width="9.1796875" style="2"/>
    <col min="3551" max="3551" width="61.54296875" style="2" customWidth="1"/>
    <col min="3552" max="3552" width="17.7265625" style="2" customWidth="1"/>
    <col min="3553" max="3553" width="19.81640625" style="2" customWidth="1"/>
    <col min="3554" max="3554" width="11.54296875" style="2" customWidth="1"/>
    <col min="3555" max="3806" width="9.1796875" style="2"/>
    <col min="3807" max="3807" width="61.54296875" style="2" customWidth="1"/>
    <col min="3808" max="3808" width="17.7265625" style="2" customWidth="1"/>
    <col min="3809" max="3809" width="19.81640625" style="2" customWidth="1"/>
    <col min="3810" max="3810" width="11.54296875" style="2" customWidth="1"/>
    <col min="3811" max="4062" width="9.1796875" style="2"/>
    <col min="4063" max="4063" width="61.54296875" style="2" customWidth="1"/>
    <col min="4064" max="4064" width="17.7265625" style="2" customWidth="1"/>
    <col min="4065" max="4065" width="19.81640625" style="2" customWidth="1"/>
    <col min="4066" max="4066" width="11.54296875" style="2" customWidth="1"/>
    <col min="4067" max="4318" width="9.1796875" style="2"/>
    <col min="4319" max="4319" width="61.54296875" style="2" customWidth="1"/>
    <col min="4320" max="4320" width="17.7265625" style="2" customWidth="1"/>
    <col min="4321" max="4321" width="19.81640625" style="2" customWidth="1"/>
    <col min="4322" max="4322" width="11.54296875" style="2" customWidth="1"/>
    <col min="4323" max="4574" width="9.1796875" style="2"/>
    <col min="4575" max="4575" width="61.54296875" style="2" customWidth="1"/>
    <col min="4576" max="4576" width="17.7265625" style="2" customWidth="1"/>
    <col min="4577" max="4577" width="19.81640625" style="2" customWidth="1"/>
    <col min="4578" max="4578" width="11.54296875" style="2" customWidth="1"/>
    <col min="4579" max="4830" width="9.1796875" style="2"/>
    <col min="4831" max="4831" width="61.54296875" style="2" customWidth="1"/>
    <col min="4832" max="4832" width="17.7265625" style="2" customWidth="1"/>
    <col min="4833" max="4833" width="19.81640625" style="2" customWidth="1"/>
    <col min="4834" max="4834" width="11.54296875" style="2" customWidth="1"/>
    <col min="4835" max="5086" width="9.1796875" style="2"/>
    <col min="5087" max="5087" width="61.54296875" style="2" customWidth="1"/>
    <col min="5088" max="5088" width="17.7265625" style="2" customWidth="1"/>
    <col min="5089" max="5089" width="19.81640625" style="2" customWidth="1"/>
    <col min="5090" max="5090" width="11.54296875" style="2" customWidth="1"/>
    <col min="5091" max="5342" width="9.1796875" style="2"/>
    <col min="5343" max="5343" width="61.54296875" style="2" customWidth="1"/>
    <col min="5344" max="5344" width="17.7265625" style="2" customWidth="1"/>
    <col min="5345" max="5345" width="19.81640625" style="2" customWidth="1"/>
    <col min="5346" max="5346" width="11.54296875" style="2" customWidth="1"/>
    <col min="5347" max="5598" width="9.1796875" style="2"/>
    <col min="5599" max="5599" width="61.54296875" style="2" customWidth="1"/>
    <col min="5600" max="5600" width="17.7265625" style="2" customWidth="1"/>
    <col min="5601" max="5601" width="19.81640625" style="2" customWidth="1"/>
    <col min="5602" max="5602" width="11.54296875" style="2" customWidth="1"/>
    <col min="5603" max="5854" width="9.1796875" style="2"/>
    <col min="5855" max="5855" width="61.54296875" style="2" customWidth="1"/>
    <col min="5856" max="5856" width="17.7265625" style="2" customWidth="1"/>
    <col min="5857" max="5857" width="19.81640625" style="2" customWidth="1"/>
    <col min="5858" max="5858" width="11.54296875" style="2" customWidth="1"/>
    <col min="5859" max="6110" width="9.1796875" style="2"/>
    <col min="6111" max="6111" width="61.54296875" style="2" customWidth="1"/>
    <col min="6112" max="6112" width="17.7265625" style="2" customWidth="1"/>
    <col min="6113" max="6113" width="19.81640625" style="2" customWidth="1"/>
    <col min="6114" max="6114" width="11.54296875" style="2" customWidth="1"/>
    <col min="6115" max="6366" width="9.1796875" style="2"/>
    <col min="6367" max="6367" width="61.54296875" style="2" customWidth="1"/>
    <col min="6368" max="6368" width="17.7265625" style="2" customWidth="1"/>
    <col min="6369" max="6369" width="19.81640625" style="2" customWidth="1"/>
    <col min="6370" max="6370" width="11.54296875" style="2" customWidth="1"/>
    <col min="6371" max="6622" width="9.1796875" style="2"/>
    <col min="6623" max="6623" width="61.54296875" style="2" customWidth="1"/>
    <col min="6624" max="6624" width="17.7265625" style="2" customWidth="1"/>
    <col min="6625" max="6625" width="19.81640625" style="2" customWidth="1"/>
    <col min="6626" max="6626" width="11.54296875" style="2" customWidth="1"/>
    <col min="6627" max="6878" width="9.1796875" style="2"/>
    <col min="6879" max="6879" width="61.54296875" style="2" customWidth="1"/>
    <col min="6880" max="6880" width="17.7265625" style="2" customWidth="1"/>
    <col min="6881" max="6881" width="19.81640625" style="2" customWidth="1"/>
    <col min="6882" max="6882" width="11.54296875" style="2" customWidth="1"/>
    <col min="6883" max="7134" width="9.1796875" style="2"/>
    <col min="7135" max="7135" width="61.54296875" style="2" customWidth="1"/>
    <col min="7136" max="7136" width="17.7265625" style="2" customWidth="1"/>
    <col min="7137" max="7137" width="19.81640625" style="2" customWidth="1"/>
    <col min="7138" max="7138" width="11.54296875" style="2" customWidth="1"/>
    <col min="7139" max="7390" width="9.1796875" style="2"/>
    <col min="7391" max="7391" width="61.54296875" style="2" customWidth="1"/>
    <col min="7392" max="7392" width="17.7265625" style="2" customWidth="1"/>
    <col min="7393" max="7393" width="19.81640625" style="2" customWidth="1"/>
    <col min="7394" max="7394" width="11.54296875" style="2" customWidth="1"/>
    <col min="7395" max="7646" width="9.1796875" style="2"/>
    <col min="7647" max="7647" width="61.54296875" style="2" customWidth="1"/>
    <col min="7648" max="7648" width="17.7265625" style="2" customWidth="1"/>
    <col min="7649" max="7649" width="19.81640625" style="2" customWidth="1"/>
    <col min="7650" max="7650" width="11.54296875" style="2" customWidth="1"/>
    <col min="7651" max="7902" width="9.1796875" style="2"/>
    <col min="7903" max="7903" width="61.54296875" style="2" customWidth="1"/>
    <col min="7904" max="7904" width="17.7265625" style="2" customWidth="1"/>
    <col min="7905" max="7905" width="19.81640625" style="2" customWidth="1"/>
    <col min="7906" max="7906" width="11.54296875" style="2" customWidth="1"/>
    <col min="7907" max="8158" width="9.1796875" style="2"/>
    <col min="8159" max="8159" width="61.54296875" style="2" customWidth="1"/>
    <col min="8160" max="8160" width="17.7265625" style="2" customWidth="1"/>
    <col min="8161" max="8161" width="19.81640625" style="2" customWidth="1"/>
    <col min="8162" max="8162" width="11.54296875" style="2" customWidth="1"/>
    <col min="8163" max="8414" width="9.1796875" style="2"/>
    <col min="8415" max="8415" width="61.54296875" style="2" customWidth="1"/>
    <col min="8416" max="8416" width="17.7265625" style="2" customWidth="1"/>
    <col min="8417" max="8417" width="19.81640625" style="2" customWidth="1"/>
    <col min="8418" max="8418" width="11.54296875" style="2" customWidth="1"/>
    <col min="8419" max="8670" width="9.1796875" style="2"/>
    <col min="8671" max="8671" width="61.54296875" style="2" customWidth="1"/>
    <col min="8672" max="8672" width="17.7265625" style="2" customWidth="1"/>
    <col min="8673" max="8673" width="19.81640625" style="2" customWidth="1"/>
    <col min="8674" max="8674" width="11.54296875" style="2" customWidth="1"/>
    <col min="8675" max="8926" width="9.1796875" style="2"/>
    <col min="8927" max="8927" width="61.54296875" style="2" customWidth="1"/>
    <col min="8928" max="8928" width="17.7265625" style="2" customWidth="1"/>
    <col min="8929" max="8929" width="19.81640625" style="2" customWidth="1"/>
    <col min="8930" max="8930" width="11.54296875" style="2" customWidth="1"/>
    <col min="8931" max="9182" width="9.1796875" style="2"/>
    <col min="9183" max="9183" width="61.54296875" style="2" customWidth="1"/>
    <col min="9184" max="9184" width="17.7265625" style="2" customWidth="1"/>
    <col min="9185" max="9185" width="19.81640625" style="2" customWidth="1"/>
    <col min="9186" max="9186" width="11.54296875" style="2" customWidth="1"/>
    <col min="9187" max="9438" width="9.1796875" style="2"/>
    <col min="9439" max="9439" width="61.54296875" style="2" customWidth="1"/>
    <col min="9440" max="9440" width="17.7265625" style="2" customWidth="1"/>
    <col min="9441" max="9441" width="19.81640625" style="2" customWidth="1"/>
    <col min="9442" max="9442" width="11.54296875" style="2" customWidth="1"/>
    <col min="9443" max="9694" width="9.1796875" style="2"/>
    <col min="9695" max="9695" width="61.54296875" style="2" customWidth="1"/>
    <col min="9696" max="9696" width="17.7265625" style="2" customWidth="1"/>
    <col min="9697" max="9697" width="19.81640625" style="2" customWidth="1"/>
    <col min="9698" max="9698" width="11.54296875" style="2" customWidth="1"/>
    <col min="9699" max="9950" width="9.1796875" style="2"/>
    <col min="9951" max="9951" width="61.54296875" style="2" customWidth="1"/>
    <col min="9952" max="9952" width="17.7265625" style="2" customWidth="1"/>
    <col min="9953" max="9953" width="19.81640625" style="2" customWidth="1"/>
    <col min="9954" max="9954" width="11.54296875" style="2" customWidth="1"/>
    <col min="9955" max="10206" width="9.1796875" style="2"/>
    <col min="10207" max="10207" width="61.54296875" style="2" customWidth="1"/>
    <col min="10208" max="10208" width="17.7265625" style="2" customWidth="1"/>
    <col min="10209" max="10209" width="19.81640625" style="2" customWidth="1"/>
    <col min="10210" max="10210" width="11.54296875" style="2" customWidth="1"/>
    <col min="10211" max="10462" width="9.1796875" style="2"/>
    <col min="10463" max="10463" width="61.54296875" style="2" customWidth="1"/>
    <col min="10464" max="10464" width="17.7265625" style="2" customWidth="1"/>
    <col min="10465" max="10465" width="19.81640625" style="2" customWidth="1"/>
    <col min="10466" max="10466" width="11.54296875" style="2" customWidth="1"/>
    <col min="10467" max="10718" width="9.1796875" style="2"/>
    <col min="10719" max="10719" width="61.54296875" style="2" customWidth="1"/>
    <col min="10720" max="10720" width="17.7265625" style="2" customWidth="1"/>
    <col min="10721" max="10721" width="19.81640625" style="2" customWidth="1"/>
    <col min="10722" max="10722" width="11.54296875" style="2" customWidth="1"/>
    <col min="10723" max="10974" width="9.1796875" style="2"/>
    <col min="10975" max="10975" width="61.54296875" style="2" customWidth="1"/>
    <col min="10976" max="10976" width="17.7265625" style="2" customWidth="1"/>
    <col min="10977" max="10977" width="19.81640625" style="2" customWidth="1"/>
    <col min="10978" max="10978" width="11.54296875" style="2" customWidth="1"/>
    <col min="10979" max="11230" width="9.1796875" style="2"/>
    <col min="11231" max="11231" width="61.54296875" style="2" customWidth="1"/>
    <col min="11232" max="11232" width="17.7265625" style="2" customWidth="1"/>
    <col min="11233" max="11233" width="19.81640625" style="2" customWidth="1"/>
    <col min="11234" max="11234" width="11.54296875" style="2" customWidth="1"/>
    <col min="11235" max="11486" width="9.1796875" style="2"/>
    <col min="11487" max="11487" width="61.54296875" style="2" customWidth="1"/>
    <col min="11488" max="11488" width="17.7265625" style="2" customWidth="1"/>
    <col min="11489" max="11489" width="19.81640625" style="2" customWidth="1"/>
    <col min="11490" max="11490" width="11.54296875" style="2" customWidth="1"/>
    <col min="11491" max="11742" width="9.1796875" style="2"/>
    <col min="11743" max="11743" width="61.54296875" style="2" customWidth="1"/>
    <col min="11744" max="11744" width="17.7265625" style="2" customWidth="1"/>
    <col min="11745" max="11745" width="19.81640625" style="2" customWidth="1"/>
    <col min="11746" max="11746" width="11.54296875" style="2" customWidth="1"/>
    <col min="11747" max="11998" width="9.1796875" style="2"/>
    <col min="11999" max="11999" width="61.54296875" style="2" customWidth="1"/>
    <col min="12000" max="12000" width="17.7265625" style="2" customWidth="1"/>
    <col min="12001" max="12001" width="19.81640625" style="2" customWidth="1"/>
    <col min="12002" max="12002" width="11.54296875" style="2" customWidth="1"/>
    <col min="12003" max="12254" width="9.1796875" style="2"/>
    <col min="12255" max="12255" width="61.54296875" style="2" customWidth="1"/>
    <col min="12256" max="12256" width="17.7265625" style="2" customWidth="1"/>
    <col min="12257" max="12257" width="19.81640625" style="2" customWidth="1"/>
    <col min="12258" max="12258" width="11.54296875" style="2" customWidth="1"/>
    <col min="12259" max="12510" width="9.1796875" style="2"/>
    <col min="12511" max="12511" width="61.54296875" style="2" customWidth="1"/>
    <col min="12512" max="12512" width="17.7265625" style="2" customWidth="1"/>
    <col min="12513" max="12513" width="19.81640625" style="2" customWidth="1"/>
    <col min="12514" max="12514" width="11.54296875" style="2" customWidth="1"/>
    <col min="12515" max="12766" width="9.1796875" style="2"/>
    <col min="12767" max="12767" width="61.54296875" style="2" customWidth="1"/>
    <col min="12768" max="12768" width="17.7265625" style="2" customWidth="1"/>
    <col min="12769" max="12769" width="19.81640625" style="2" customWidth="1"/>
    <col min="12770" max="12770" width="11.54296875" style="2" customWidth="1"/>
    <col min="12771" max="13022" width="9.1796875" style="2"/>
    <col min="13023" max="13023" width="61.54296875" style="2" customWidth="1"/>
    <col min="13024" max="13024" width="17.7265625" style="2" customWidth="1"/>
    <col min="13025" max="13025" width="19.81640625" style="2" customWidth="1"/>
    <col min="13026" max="13026" width="11.54296875" style="2" customWidth="1"/>
    <col min="13027" max="13278" width="9.1796875" style="2"/>
    <col min="13279" max="13279" width="61.54296875" style="2" customWidth="1"/>
    <col min="13280" max="13280" width="17.7265625" style="2" customWidth="1"/>
    <col min="13281" max="13281" width="19.81640625" style="2" customWidth="1"/>
    <col min="13282" max="13282" width="11.54296875" style="2" customWidth="1"/>
    <col min="13283" max="13534" width="9.1796875" style="2"/>
    <col min="13535" max="13535" width="61.54296875" style="2" customWidth="1"/>
    <col min="13536" max="13536" width="17.7265625" style="2" customWidth="1"/>
    <col min="13537" max="13537" width="19.81640625" style="2" customWidth="1"/>
    <col min="13538" max="13538" width="11.54296875" style="2" customWidth="1"/>
    <col min="13539" max="13790" width="9.1796875" style="2"/>
    <col min="13791" max="13791" width="61.54296875" style="2" customWidth="1"/>
    <col min="13792" max="13792" width="17.7265625" style="2" customWidth="1"/>
    <col min="13793" max="13793" width="19.81640625" style="2" customWidth="1"/>
    <col min="13794" max="13794" width="11.54296875" style="2" customWidth="1"/>
    <col min="13795" max="14046" width="9.1796875" style="2"/>
    <col min="14047" max="14047" width="61.54296875" style="2" customWidth="1"/>
    <col min="14048" max="14048" width="17.7265625" style="2" customWidth="1"/>
    <col min="14049" max="14049" width="19.81640625" style="2" customWidth="1"/>
    <col min="14050" max="14050" width="11.54296875" style="2" customWidth="1"/>
    <col min="14051" max="14302" width="9.1796875" style="2"/>
    <col min="14303" max="14303" width="61.54296875" style="2" customWidth="1"/>
    <col min="14304" max="14304" width="17.7265625" style="2" customWidth="1"/>
    <col min="14305" max="14305" width="19.81640625" style="2" customWidth="1"/>
    <col min="14306" max="14306" width="11.54296875" style="2" customWidth="1"/>
    <col min="14307" max="14558" width="9.1796875" style="2"/>
    <col min="14559" max="14559" width="61.54296875" style="2" customWidth="1"/>
    <col min="14560" max="14560" width="17.7265625" style="2" customWidth="1"/>
    <col min="14561" max="14561" width="19.81640625" style="2" customWidth="1"/>
    <col min="14562" max="14562" width="11.54296875" style="2" customWidth="1"/>
    <col min="14563" max="14814" width="9.1796875" style="2"/>
    <col min="14815" max="14815" width="61.54296875" style="2" customWidth="1"/>
    <col min="14816" max="14816" width="17.7265625" style="2" customWidth="1"/>
    <col min="14817" max="14817" width="19.81640625" style="2" customWidth="1"/>
    <col min="14818" max="14818" width="11.54296875" style="2" customWidth="1"/>
    <col min="14819" max="15070" width="9.1796875" style="2"/>
    <col min="15071" max="15071" width="61.54296875" style="2" customWidth="1"/>
    <col min="15072" max="15072" width="17.7265625" style="2" customWidth="1"/>
    <col min="15073" max="15073" width="19.81640625" style="2" customWidth="1"/>
    <col min="15074" max="15074" width="11.54296875" style="2" customWidth="1"/>
    <col min="15075" max="15326" width="9.1796875" style="2"/>
    <col min="15327" max="15327" width="61.54296875" style="2" customWidth="1"/>
    <col min="15328" max="15328" width="17.7265625" style="2" customWidth="1"/>
    <col min="15329" max="15329" width="19.81640625" style="2" customWidth="1"/>
    <col min="15330" max="15330" width="11.54296875" style="2" customWidth="1"/>
    <col min="15331" max="15582" width="9.1796875" style="2"/>
    <col min="15583" max="15583" width="61.54296875" style="2" customWidth="1"/>
    <col min="15584" max="15584" width="17.7265625" style="2" customWidth="1"/>
    <col min="15585" max="15585" width="19.81640625" style="2" customWidth="1"/>
    <col min="15586" max="15586" width="11.54296875" style="2" customWidth="1"/>
    <col min="15587" max="15838" width="9.1796875" style="2"/>
    <col min="15839" max="15839" width="61.54296875" style="2" customWidth="1"/>
    <col min="15840" max="15840" width="17.7265625" style="2" customWidth="1"/>
    <col min="15841" max="15841" width="19.81640625" style="2" customWidth="1"/>
    <col min="15842" max="15842" width="11.54296875" style="2" customWidth="1"/>
    <col min="15843" max="16094" width="9.1796875" style="2"/>
    <col min="16095" max="16095" width="61.54296875" style="2" customWidth="1"/>
    <col min="16096" max="16096" width="17.7265625" style="2" customWidth="1"/>
    <col min="16097" max="16097" width="19.81640625" style="2" customWidth="1"/>
    <col min="16098" max="16098" width="11.54296875" style="2" customWidth="1"/>
    <col min="16099" max="16370" width="9.1796875" style="2"/>
    <col min="16371" max="16373" width="9.1796875" style="2" customWidth="1"/>
    <col min="16374" max="16384" width="9.1796875" style="2"/>
  </cols>
  <sheetData>
    <row r="1" spans="1:8" ht="13.15" customHeight="1" x14ac:dyDescent="0.25">
      <c r="B1" s="264"/>
      <c r="C1" s="47"/>
      <c r="D1" s="47"/>
      <c r="E1" s="47"/>
    </row>
    <row r="2" spans="1:8" x14ac:dyDescent="0.25">
      <c r="B2" s="264"/>
      <c r="C2" s="47"/>
      <c r="D2" s="47"/>
      <c r="E2" s="47"/>
    </row>
    <row r="3" spans="1:8" x14ac:dyDescent="0.25">
      <c r="B3" s="264"/>
      <c r="C3" s="47"/>
      <c r="D3" s="47"/>
      <c r="E3" s="47"/>
    </row>
    <row r="6" spans="1:8" s="6" customFormat="1" x14ac:dyDescent="0.25">
      <c r="A6" s="250" t="s">
        <v>765</v>
      </c>
      <c r="B6" s="26">
        <v>12345</v>
      </c>
      <c r="C6" s="27"/>
      <c r="D6" s="26"/>
    </row>
    <row r="7" spans="1:8" s="6" customFormat="1" ht="13" x14ac:dyDescent="0.25">
      <c r="A7" s="28" t="s">
        <v>754</v>
      </c>
      <c r="B7" s="29" t="s">
        <v>61</v>
      </c>
      <c r="C7" s="26"/>
      <c r="D7" s="30"/>
    </row>
    <row r="8" spans="1:8" x14ac:dyDescent="0.25">
      <c r="A8" s="31" t="s">
        <v>331</v>
      </c>
      <c r="B8" s="32">
        <v>206189</v>
      </c>
      <c r="C8" s="262"/>
      <c r="D8" s="262"/>
      <c r="H8" s="41"/>
    </row>
    <row r="9" spans="1:8" x14ac:dyDescent="0.25">
      <c r="A9" s="31" t="s">
        <v>332</v>
      </c>
      <c r="B9" s="32" t="s">
        <v>652</v>
      </c>
      <c r="C9" s="262"/>
      <c r="D9" s="262"/>
    </row>
    <row r="10" spans="1:8" x14ac:dyDescent="0.25">
      <c r="A10" s="31" t="s">
        <v>167</v>
      </c>
      <c r="B10" s="32" t="s">
        <v>335</v>
      </c>
      <c r="C10" s="262"/>
      <c r="D10" s="262"/>
      <c r="E10" s="6"/>
    </row>
    <row r="11" spans="1:8" x14ac:dyDescent="0.25">
      <c r="A11" s="31" t="s">
        <v>337</v>
      </c>
      <c r="B11" s="32" t="s">
        <v>336</v>
      </c>
      <c r="C11" s="262"/>
      <c r="D11" s="262"/>
      <c r="E11" s="6"/>
    </row>
    <row r="12" spans="1:8" x14ac:dyDescent="0.25">
      <c r="A12" s="31" t="s">
        <v>338</v>
      </c>
      <c r="B12" s="32">
        <f>_xlfn.XLOOKUP(A12,'Additional Support 2 yo'!A:A,'Additional Support 2 yo'!B:B)</f>
        <v>206124</v>
      </c>
      <c r="C12" s="262"/>
      <c r="D12" s="262"/>
      <c r="E12" s="6"/>
    </row>
    <row r="13" spans="1:8" x14ac:dyDescent="0.25">
      <c r="A13" s="31" t="s">
        <v>886</v>
      </c>
      <c r="B13" s="32" t="s">
        <v>887</v>
      </c>
      <c r="C13" s="262"/>
      <c r="D13" s="262"/>
    </row>
    <row r="14" spans="1:8" x14ac:dyDescent="0.25">
      <c r="A14" s="31" t="s">
        <v>890</v>
      </c>
      <c r="B14" s="32" t="s">
        <v>891</v>
      </c>
      <c r="C14" s="262"/>
      <c r="D14" s="262"/>
      <c r="E14" s="6"/>
    </row>
    <row r="15" spans="1:8" x14ac:dyDescent="0.25">
      <c r="A15" s="31" t="s">
        <v>341</v>
      </c>
      <c r="B15" s="32">
        <v>206126</v>
      </c>
      <c r="C15" s="262"/>
      <c r="D15" s="262"/>
    </row>
    <row r="16" spans="1:8" x14ac:dyDescent="0.25">
      <c r="A16" s="31" t="s">
        <v>342</v>
      </c>
      <c r="B16" s="32">
        <v>206111</v>
      </c>
      <c r="C16" s="262"/>
      <c r="D16" s="262"/>
    </row>
    <row r="17" spans="1:5" x14ac:dyDescent="0.25">
      <c r="A17" s="31" t="s">
        <v>343</v>
      </c>
      <c r="B17" s="32">
        <v>206091</v>
      </c>
      <c r="C17" s="262"/>
      <c r="D17" s="262"/>
      <c r="E17" s="6"/>
    </row>
    <row r="18" spans="1:5" x14ac:dyDescent="0.25">
      <c r="A18" s="31" t="s">
        <v>1042</v>
      </c>
      <c r="B18" s="32" t="str">
        <f>_xlfn.XLOOKUP(A18,'Additional Support 2 yo'!A:A,'Additional Support 2 yo'!C:C)</f>
        <v>148585</v>
      </c>
      <c r="C18" s="262"/>
      <c r="D18" s="262"/>
    </row>
    <row r="19" spans="1:5" x14ac:dyDescent="0.25">
      <c r="A19" s="31" t="s">
        <v>488</v>
      </c>
      <c r="B19" s="32" t="s">
        <v>487</v>
      </c>
      <c r="C19" s="262"/>
      <c r="D19" s="262"/>
      <c r="E19" s="6"/>
    </row>
    <row r="20" spans="1:5" x14ac:dyDescent="0.25">
      <c r="A20" s="31" t="s">
        <v>344</v>
      </c>
      <c r="B20" s="32">
        <v>206128</v>
      </c>
      <c r="C20" s="262"/>
      <c r="D20" s="262"/>
    </row>
    <row r="21" spans="1:5" x14ac:dyDescent="0.25">
      <c r="A21" s="31" t="s">
        <v>970</v>
      </c>
      <c r="B21" s="32" t="s">
        <v>971</v>
      </c>
      <c r="C21" s="262"/>
      <c r="D21" s="262"/>
    </row>
    <row r="22" spans="1:5" x14ac:dyDescent="0.25">
      <c r="A22" s="31" t="s">
        <v>360</v>
      </c>
      <c r="B22" s="32" t="s">
        <v>359</v>
      </c>
      <c r="C22" s="262"/>
      <c r="D22" s="262"/>
    </row>
    <row r="23" spans="1:5" x14ac:dyDescent="0.25">
      <c r="A23" s="31" t="s">
        <v>345</v>
      </c>
      <c r="B23" s="32">
        <v>205999</v>
      </c>
      <c r="C23" s="262"/>
      <c r="D23" s="262"/>
    </row>
    <row r="24" spans="1:5" x14ac:dyDescent="0.25">
      <c r="A24" s="31" t="s">
        <v>347</v>
      </c>
      <c r="B24" s="32" t="s">
        <v>346</v>
      </c>
      <c r="C24" s="262"/>
      <c r="D24" s="262"/>
    </row>
    <row r="25" spans="1:5" x14ac:dyDescent="0.25">
      <c r="A25" s="31" t="s">
        <v>349</v>
      </c>
      <c r="B25" s="32" t="s">
        <v>348</v>
      </c>
      <c r="C25" s="262"/>
      <c r="D25" s="262"/>
    </row>
    <row r="26" spans="1:5" x14ac:dyDescent="0.25">
      <c r="A26" s="31" t="s">
        <v>350</v>
      </c>
      <c r="B26" s="32">
        <v>205921</v>
      </c>
      <c r="C26" s="262"/>
      <c r="D26" s="262"/>
    </row>
    <row r="27" spans="1:5" x14ac:dyDescent="0.25">
      <c r="A27" s="31" t="s">
        <v>351</v>
      </c>
      <c r="B27" s="32">
        <v>206011</v>
      </c>
      <c r="C27" s="262"/>
      <c r="D27" s="262"/>
    </row>
    <row r="28" spans="1:5" x14ac:dyDescent="0.25">
      <c r="A28" s="31" t="s">
        <v>352</v>
      </c>
      <c r="B28" s="32" t="s">
        <v>899</v>
      </c>
      <c r="C28" s="262"/>
      <c r="D28" s="262"/>
    </row>
    <row r="29" spans="1:5" x14ac:dyDescent="0.25">
      <c r="A29" s="31" t="s">
        <v>356</v>
      </c>
      <c r="B29" s="32" t="s">
        <v>355</v>
      </c>
      <c r="C29" s="262"/>
      <c r="D29" s="262"/>
    </row>
    <row r="30" spans="1:5" x14ac:dyDescent="0.25">
      <c r="A30" s="31" t="s">
        <v>358</v>
      </c>
      <c r="B30" s="32" t="s">
        <v>357</v>
      </c>
      <c r="C30" s="262"/>
      <c r="D30" s="262"/>
    </row>
    <row r="31" spans="1:5" x14ac:dyDescent="0.25">
      <c r="A31" s="31" t="s">
        <v>361</v>
      </c>
      <c r="B31" s="32">
        <v>2549324</v>
      </c>
      <c r="C31" s="262"/>
      <c r="D31" s="262"/>
    </row>
    <row r="32" spans="1:5" x14ac:dyDescent="0.25">
      <c r="A32" s="31" t="s">
        <v>1076</v>
      </c>
      <c r="B32" s="32" t="str">
        <f>_xlfn.XLOOKUP('PVI Provider Lookup'!A167,'Under 2s'!A:A,'Under 2s'!B:B)</f>
        <v>510466</v>
      </c>
      <c r="C32" s="262"/>
      <c r="D32" s="262"/>
    </row>
    <row r="33" spans="1:4" x14ac:dyDescent="0.25">
      <c r="A33" s="31" t="s">
        <v>364</v>
      </c>
      <c r="B33" s="32">
        <v>2519477</v>
      </c>
      <c r="C33" s="262"/>
      <c r="D33" s="262"/>
    </row>
    <row r="34" spans="1:4" x14ac:dyDescent="0.25">
      <c r="A34" s="31" t="s">
        <v>904</v>
      </c>
      <c r="B34" s="32" t="s">
        <v>905</v>
      </c>
      <c r="C34" s="262"/>
      <c r="D34" s="262"/>
    </row>
    <row r="35" spans="1:4" x14ac:dyDescent="0.25">
      <c r="A35" s="31" t="s">
        <v>1043</v>
      </c>
      <c r="B35" s="32" t="str">
        <f>_xlfn.XLOOKUP(A35,'Additional Support 2 yo'!A:A,'Additional Support 2 yo'!C:C)</f>
        <v>2680147</v>
      </c>
      <c r="C35" s="262"/>
      <c r="D35" s="262"/>
    </row>
    <row r="36" spans="1:4" x14ac:dyDescent="0.25">
      <c r="A36" s="31" t="s">
        <v>368</v>
      </c>
      <c r="B36" s="32" t="s">
        <v>367</v>
      </c>
      <c r="C36" s="262"/>
      <c r="D36" s="262"/>
    </row>
    <row r="37" spans="1:4" x14ac:dyDescent="0.25">
      <c r="A37" s="31" t="s">
        <v>369</v>
      </c>
      <c r="B37" s="32">
        <v>205852</v>
      </c>
      <c r="C37" s="262"/>
      <c r="D37" s="262"/>
    </row>
    <row r="38" spans="1:4" x14ac:dyDescent="0.25">
      <c r="A38" s="31" t="s">
        <v>370</v>
      </c>
      <c r="B38" s="32" t="str">
        <f>_xlfn.XLOOKUP(A38,'Working 2 yo'!A:A,'Working 2 yo'!C:C)</f>
        <v>639305</v>
      </c>
      <c r="C38" s="262"/>
      <c r="D38" s="262"/>
    </row>
    <row r="39" spans="1:4" x14ac:dyDescent="0.25">
      <c r="A39" s="31" t="s">
        <v>371</v>
      </c>
      <c r="B39" s="32">
        <v>205922</v>
      </c>
      <c r="C39" s="262"/>
      <c r="D39" s="262"/>
    </row>
    <row r="40" spans="1:4" x14ac:dyDescent="0.25">
      <c r="A40" s="31" t="s">
        <v>373</v>
      </c>
      <c r="B40" s="32" t="s">
        <v>372</v>
      </c>
      <c r="C40" s="262"/>
      <c r="D40" s="262"/>
    </row>
    <row r="41" spans="1:4" x14ac:dyDescent="0.25">
      <c r="A41" s="31" t="s">
        <v>375</v>
      </c>
      <c r="B41" s="32" t="s">
        <v>374</v>
      </c>
      <c r="C41" s="262"/>
      <c r="D41" s="262"/>
    </row>
    <row r="42" spans="1:4" x14ac:dyDescent="0.25">
      <c r="A42" s="31" t="s">
        <v>376</v>
      </c>
      <c r="B42" s="32">
        <v>205947</v>
      </c>
      <c r="C42" s="262"/>
      <c r="D42" s="262"/>
    </row>
    <row r="43" spans="1:4" x14ac:dyDescent="0.25">
      <c r="A43" s="31" t="s">
        <v>914</v>
      </c>
      <c r="B43" s="32" t="s">
        <v>915</v>
      </c>
      <c r="C43" s="262"/>
      <c r="D43" s="262"/>
    </row>
    <row r="44" spans="1:4" x14ac:dyDescent="0.25">
      <c r="A44" s="31" t="s">
        <v>377</v>
      </c>
      <c r="B44" s="32" t="s">
        <v>918</v>
      </c>
      <c r="C44" s="262"/>
      <c r="D44" s="262"/>
    </row>
    <row r="45" spans="1:4" x14ac:dyDescent="0.25">
      <c r="A45" s="31" t="s">
        <v>379</v>
      </c>
      <c r="B45" s="32" t="s">
        <v>378</v>
      </c>
      <c r="C45" s="262"/>
      <c r="D45" s="262"/>
    </row>
    <row r="46" spans="1:4" x14ac:dyDescent="0.25">
      <c r="A46" s="31" t="s">
        <v>1078</v>
      </c>
      <c r="B46" s="32" t="str">
        <f>_xlfn.XLOOKUP('PVI Provider Lookup'!A168,'Under 2s'!A:A,'Under 2s'!B:B)</f>
        <v>EY452684</v>
      </c>
      <c r="C46" s="262"/>
      <c r="D46" s="262"/>
    </row>
    <row r="47" spans="1:4" x14ac:dyDescent="0.25">
      <c r="A47" s="31" t="s">
        <v>1065</v>
      </c>
      <c r="B47" s="32" t="str">
        <f>_xlfn.XLOOKUP(A47,'Working 2 yo'!A:A,'Working 2 yo'!C:C)</f>
        <v>639270</v>
      </c>
      <c r="C47" s="262"/>
      <c r="D47" s="262"/>
    </row>
    <row r="48" spans="1:4" x14ac:dyDescent="0.25">
      <c r="A48" s="31" t="s">
        <v>772</v>
      </c>
      <c r="B48" s="32" t="str">
        <f>_xlfn.XLOOKUP(A48,'Working 2 yo'!A:A,'Working 2 yo'!B:B)</f>
        <v>EY455065</v>
      </c>
      <c r="C48" s="262"/>
      <c r="D48" s="262"/>
    </row>
    <row r="49" spans="1:4" x14ac:dyDescent="0.25">
      <c r="A49" s="31" t="s">
        <v>383</v>
      </c>
      <c r="B49" s="32" t="s">
        <v>382</v>
      </c>
      <c r="C49" s="262"/>
      <c r="D49" s="262"/>
    </row>
    <row r="50" spans="1:4" x14ac:dyDescent="0.25">
      <c r="A50" s="31" t="s">
        <v>1079</v>
      </c>
      <c r="B50" s="32" t="str">
        <f>_xlfn.XLOOKUP('PVI Provider Lookup'!A169,'Under 2s'!A:A,'Under 2s'!B:B)</f>
        <v>EY544723</v>
      </c>
      <c r="C50" s="262"/>
      <c r="D50" s="262"/>
    </row>
    <row r="51" spans="1:4" x14ac:dyDescent="0.25">
      <c r="A51" s="31" t="s">
        <v>386</v>
      </c>
      <c r="B51" s="32" t="s">
        <v>385</v>
      </c>
      <c r="C51" s="262"/>
      <c r="D51" s="262"/>
    </row>
    <row r="52" spans="1:4" x14ac:dyDescent="0.25">
      <c r="A52" s="31" t="s">
        <v>388</v>
      </c>
      <c r="B52" s="32" t="s">
        <v>387</v>
      </c>
      <c r="C52" s="262"/>
      <c r="D52" s="262"/>
    </row>
    <row r="53" spans="1:4" x14ac:dyDescent="0.25">
      <c r="A53" s="31" t="s">
        <v>1045</v>
      </c>
      <c r="B53" s="32" t="str">
        <f>_xlfn.XLOOKUP(A53,'Additional Support 2 yo'!A:A,'Additional Support 2 yo'!C:C)</f>
        <v>2736137</v>
      </c>
      <c r="C53" s="262"/>
      <c r="D53" s="262"/>
    </row>
    <row r="54" spans="1:4" x14ac:dyDescent="0.25">
      <c r="A54" s="31" t="s">
        <v>390</v>
      </c>
      <c r="B54" s="32" t="s">
        <v>389</v>
      </c>
      <c r="C54" s="262"/>
      <c r="D54" s="262"/>
    </row>
    <row r="55" spans="1:4" x14ac:dyDescent="0.25">
      <c r="A55" s="31" t="s">
        <v>758</v>
      </c>
      <c r="B55" s="32" t="s">
        <v>923</v>
      </c>
      <c r="C55" s="262"/>
      <c r="D55" s="262"/>
    </row>
    <row r="56" spans="1:4" x14ac:dyDescent="0.25">
      <c r="A56" s="31" t="s">
        <v>757</v>
      </c>
      <c r="B56" s="32" t="s">
        <v>924</v>
      </c>
      <c r="C56" s="262"/>
      <c r="D56" s="262"/>
    </row>
    <row r="57" spans="1:4" x14ac:dyDescent="0.25">
      <c r="A57" s="31" t="s">
        <v>393</v>
      </c>
      <c r="B57" s="32">
        <v>639307</v>
      </c>
      <c r="C57" s="262"/>
      <c r="D57" s="262"/>
    </row>
    <row r="58" spans="1:4" x14ac:dyDescent="0.25">
      <c r="A58" s="31" t="s">
        <v>394</v>
      </c>
      <c r="B58" s="32" t="s">
        <v>926</v>
      </c>
      <c r="C58" s="262"/>
      <c r="D58" s="262"/>
    </row>
    <row r="59" spans="1:4" x14ac:dyDescent="0.25">
      <c r="A59" s="31" t="s">
        <v>395</v>
      </c>
      <c r="B59" s="32" t="s">
        <v>927</v>
      </c>
      <c r="C59" s="262"/>
      <c r="D59" s="262"/>
    </row>
    <row r="60" spans="1:4" x14ac:dyDescent="0.25">
      <c r="A60" s="31" t="s">
        <v>396</v>
      </c>
      <c r="B60" s="32">
        <v>2559906</v>
      </c>
      <c r="C60" s="262"/>
      <c r="D60" s="262"/>
    </row>
    <row r="61" spans="1:4" x14ac:dyDescent="0.25">
      <c r="A61" s="31" t="s">
        <v>401</v>
      </c>
      <c r="B61" s="32" t="s">
        <v>400</v>
      </c>
      <c r="C61" s="262"/>
      <c r="D61" s="262"/>
    </row>
    <row r="62" spans="1:4" x14ac:dyDescent="0.25">
      <c r="A62" s="31" t="s">
        <v>403</v>
      </c>
      <c r="B62" s="32" t="s">
        <v>402</v>
      </c>
      <c r="C62" s="262"/>
      <c r="D62" s="262"/>
    </row>
    <row r="63" spans="1:4" x14ac:dyDescent="0.25">
      <c r="A63" s="31" t="s">
        <v>404</v>
      </c>
      <c r="B63" s="32">
        <v>205881</v>
      </c>
      <c r="C63" s="262"/>
      <c r="D63" s="262"/>
    </row>
    <row r="64" spans="1:4" x14ac:dyDescent="0.25">
      <c r="A64" s="31" t="s">
        <v>406</v>
      </c>
      <c r="B64" s="32" t="s">
        <v>405</v>
      </c>
      <c r="C64" s="262"/>
      <c r="D64" s="262"/>
    </row>
    <row r="65" spans="1:4" x14ac:dyDescent="0.25">
      <c r="A65" s="31" t="s">
        <v>408</v>
      </c>
      <c r="B65" s="32" t="s">
        <v>407</v>
      </c>
      <c r="C65" s="262"/>
      <c r="D65" s="262"/>
    </row>
    <row r="66" spans="1:4" x14ac:dyDescent="0.25">
      <c r="A66" s="31" t="s">
        <v>410</v>
      </c>
      <c r="B66" s="32" t="s">
        <v>409</v>
      </c>
      <c r="C66" s="262"/>
      <c r="D66" s="262"/>
    </row>
    <row r="67" spans="1:4" x14ac:dyDescent="0.25">
      <c r="A67" s="31" t="s">
        <v>411</v>
      </c>
      <c r="B67" s="32"/>
      <c r="C67" s="262"/>
      <c r="D67" s="262"/>
    </row>
    <row r="68" spans="1:4" x14ac:dyDescent="0.25">
      <c r="A68" s="31" t="s">
        <v>1048</v>
      </c>
      <c r="B68" s="32" t="str">
        <f>_xlfn.XLOOKUP(A68,'Additional Support 2 yo'!A:A,'Additional Support 2 yo'!C:C)</f>
        <v>EY402908</v>
      </c>
      <c r="C68" s="262"/>
      <c r="D68" s="262"/>
    </row>
    <row r="69" spans="1:4" x14ac:dyDescent="0.25">
      <c r="A69" s="31" t="s">
        <v>413</v>
      </c>
      <c r="B69" s="32" t="s">
        <v>412</v>
      </c>
      <c r="C69" s="262"/>
      <c r="D69" s="262"/>
    </row>
    <row r="70" spans="1:4" x14ac:dyDescent="0.25">
      <c r="A70" s="31" t="s">
        <v>1050</v>
      </c>
      <c r="B70" s="32" t="str">
        <f>_xlfn.XLOOKUP(A70,'Additional Support 2 yo'!A:A,'Additional Support 2 yo'!C:C)</f>
        <v>CA00017</v>
      </c>
      <c r="C70" s="262"/>
      <c r="D70" s="262"/>
    </row>
    <row r="71" spans="1:4" x14ac:dyDescent="0.25">
      <c r="A71" s="31" t="s">
        <v>414</v>
      </c>
      <c r="B71" s="32" t="str">
        <f>_xlfn.XLOOKUP(A71,'Working 2 yo'!A:A,'Working 2 yo'!C:C)</f>
        <v>639227</v>
      </c>
      <c r="C71" s="262"/>
      <c r="D71" s="262"/>
    </row>
    <row r="72" spans="1:4" x14ac:dyDescent="0.25">
      <c r="A72" s="31" t="s">
        <v>419</v>
      </c>
      <c r="B72" s="32" t="s">
        <v>938</v>
      </c>
      <c r="C72" s="262"/>
      <c r="D72" s="262"/>
    </row>
    <row r="73" spans="1:4" x14ac:dyDescent="0.25">
      <c r="A73" s="31" t="s">
        <v>424</v>
      </c>
      <c r="B73" s="32">
        <v>205878</v>
      </c>
      <c r="C73" s="262"/>
      <c r="D73" s="262"/>
    </row>
    <row r="74" spans="1:4" x14ac:dyDescent="0.25">
      <c r="A74" s="31" t="s">
        <v>429</v>
      </c>
      <c r="B74" s="32" t="s">
        <v>946</v>
      </c>
      <c r="C74" s="262"/>
      <c r="D74" s="262"/>
    </row>
    <row r="75" spans="1:4" x14ac:dyDescent="0.25">
      <c r="A75" s="31" t="s">
        <v>942</v>
      </c>
      <c r="B75" s="32" t="s">
        <v>943</v>
      </c>
      <c r="C75" s="262"/>
      <c r="D75" s="262"/>
    </row>
    <row r="76" spans="1:4" x14ac:dyDescent="0.25">
      <c r="A76" s="31" t="s">
        <v>426</v>
      </c>
      <c r="B76" s="32" t="s">
        <v>425</v>
      </c>
      <c r="C76" s="262"/>
      <c r="D76" s="262"/>
    </row>
    <row r="77" spans="1:4" x14ac:dyDescent="0.25">
      <c r="A77" s="31" t="s">
        <v>430</v>
      </c>
      <c r="B77" s="32" t="s">
        <v>682</v>
      </c>
      <c r="C77" s="262"/>
      <c r="D77" s="262"/>
    </row>
    <row r="78" spans="1:4" x14ac:dyDescent="0.25">
      <c r="A78" s="31" t="s">
        <v>428</v>
      </c>
      <c r="B78" s="32" t="s">
        <v>427</v>
      </c>
      <c r="C78" s="262"/>
      <c r="D78" s="262"/>
    </row>
    <row r="79" spans="1:4" x14ac:dyDescent="0.25">
      <c r="A79" s="31" t="s">
        <v>434</v>
      </c>
      <c r="B79" s="32" t="s">
        <v>433</v>
      </c>
      <c r="C79" s="262"/>
      <c r="D79" s="262"/>
    </row>
    <row r="80" spans="1:4" x14ac:dyDescent="0.25">
      <c r="A80" s="31" t="s">
        <v>436</v>
      </c>
      <c r="B80" s="32" t="s">
        <v>435</v>
      </c>
      <c r="C80" s="262"/>
      <c r="D80" s="262"/>
    </row>
    <row r="81" spans="1:5" x14ac:dyDescent="0.25">
      <c r="A81" s="31" t="s">
        <v>438</v>
      </c>
      <c r="B81" s="32" t="s">
        <v>684</v>
      </c>
      <c r="C81" s="262"/>
      <c r="D81" s="262"/>
    </row>
    <row r="82" spans="1:5" x14ac:dyDescent="0.25">
      <c r="A82" s="31" t="s">
        <v>440</v>
      </c>
      <c r="B82" s="32" t="s">
        <v>439</v>
      </c>
      <c r="C82" s="262"/>
      <c r="D82" s="262"/>
    </row>
    <row r="83" spans="1:5" x14ac:dyDescent="0.25">
      <c r="A83" s="31" t="s">
        <v>444</v>
      </c>
      <c r="B83" s="32" t="s">
        <v>443</v>
      </c>
      <c r="C83" s="262"/>
      <c r="D83" s="262"/>
    </row>
    <row r="84" spans="1:5" x14ac:dyDescent="0.25">
      <c r="A84" s="31" t="s">
        <v>446</v>
      </c>
      <c r="B84" s="32" t="s">
        <v>445</v>
      </c>
      <c r="C84" s="262"/>
      <c r="D84" s="262"/>
    </row>
    <row r="85" spans="1:5" x14ac:dyDescent="0.25">
      <c r="A85" s="31" t="s">
        <v>448</v>
      </c>
      <c r="B85" s="32" t="s">
        <v>447</v>
      </c>
      <c r="C85" s="262"/>
      <c r="D85" s="262"/>
    </row>
    <row r="86" spans="1:5" x14ac:dyDescent="0.25">
      <c r="A86" s="31" t="s">
        <v>449</v>
      </c>
      <c r="B86" s="32">
        <v>206046</v>
      </c>
      <c r="C86" s="262"/>
      <c r="D86" s="262"/>
      <c r="E86" s="6"/>
    </row>
    <row r="87" spans="1:5" x14ac:dyDescent="0.25">
      <c r="A87" s="31" t="s">
        <v>451</v>
      </c>
      <c r="B87" s="32" t="s">
        <v>954</v>
      </c>
      <c r="C87" s="262"/>
      <c r="D87" s="262"/>
      <c r="E87" s="6"/>
    </row>
    <row r="88" spans="1:5" x14ac:dyDescent="0.25">
      <c r="A88" s="31" t="s">
        <v>453</v>
      </c>
      <c r="B88" s="32" t="s">
        <v>452</v>
      </c>
      <c r="C88" s="262"/>
      <c r="D88" s="262"/>
    </row>
    <row r="89" spans="1:5" x14ac:dyDescent="0.25">
      <c r="A89" s="31" t="s">
        <v>1070</v>
      </c>
      <c r="B89" s="32">
        <f>_xlfn.XLOOKUP(A89,'Working 2 yo'!A:A,'Working 2 yo'!C:C)</f>
        <v>639251</v>
      </c>
      <c r="C89" s="262"/>
      <c r="D89" s="262"/>
    </row>
    <row r="90" spans="1:5" x14ac:dyDescent="0.25">
      <c r="A90" s="31" t="s">
        <v>457</v>
      </c>
      <c r="B90" s="32">
        <v>205978</v>
      </c>
      <c r="C90" s="262"/>
      <c r="D90" s="262"/>
    </row>
    <row r="91" spans="1:5" x14ac:dyDescent="0.25">
      <c r="A91" s="31" t="s">
        <v>1071</v>
      </c>
      <c r="B91" s="32" t="str">
        <f>_xlfn.XLOOKUP(A91,'Working 2 yo'!A:A,'Working 2 yo'!C:C)</f>
        <v>639283</v>
      </c>
      <c r="C91" s="262"/>
      <c r="D91" s="262"/>
    </row>
    <row r="92" spans="1:5" x14ac:dyDescent="0.25">
      <c r="A92" s="31" t="s">
        <v>1080</v>
      </c>
      <c r="B92" s="32" t="str">
        <f>_xlfn.XLOOKUP('PVI Provider Lookup'!A170,'Under 2s'!A:A,'Under 2s'!B:B)</f>
        <v>EY431769</v>
      </c>
      <c r="C92" s="262"/>
      <c r="D92" s="262"/>
      <c r="E92" s="6"/>
    </row>
    <row r="93" spans="1:5" x14ac:dyDescent="0.25">
      <c r="A93" s="31" t="s">
        <v>461</v>
      </c>
      <c r="B93" s="32">
        <v>206043</v>
      </c>
      <c r="C93" s="262"/>
      <c r="D93" s="262"/>
    </row>
    <row r="94" spans="1:5" x14ac:dyDescent="0.25">
      <c r="A94" s="31" t="s">
        <v>1081</v>
      </c>
      <c r="B94" s="32">
        <f>_xlfn.XLOOKUP('PVI Provider Lookup'!A171,'Under 2s'!A:A,'Under 2s'!B:B)</f>
        <v>2568273</v>
      </c>
      <c r="C94" s="262"/>
      <c r="D94" s="262"/>
    </row>
    <row r="95" spans="1:5" x14ac:dyDescent="0.25">
      <c r="A95" s="31" t="s">
        <v>460</v>
      </c>
      <c r="B95" s="32" t="s">
        <v>959</v>
      </c>
      <c r="C95" s="262"/>
      <c r="D95" s="262"/>
    </row>
    <row r="96" spans="1:5" x14ac:dyDescent="0.25">
      <c r="A96" s="31" t="s">
        <v>463</v>
      </c>
      <c r="B96" s="32" t="s">
        <v>462</v>
      </c>
      <c r="C96" s="262"/>
      <c r="D96" s="262"/>
    </row>
    <row r="97" spans="1:5" x14ac:dyDescent="0.25">
      <c r="A97" s="31" t="s">
        <v>464</v>
      </c>
      <c r="B97" s="32">
        <f>_xlfn.XLOOKUP('PVI Provider Lookup'!A172,'Under 2s'!A:A,'Under 2s'!B:B)</f>
        <v>509204</v>
      </c>
      <c r="C97" s="262"/>
      <c r="D97" s="262"/>
      <c r="E97" s="6"/>
    </row>
    <row r="98" spans="1:5" x14ac:dyDescent="0.25">
      <c r="A98" s="31" t="s">
        <v>466</v>
      </c>
      <c r="B98" s="32" t="s">
        <v>465</v>
      </c>
      <c r="C98" s="262"/>
      <c r="D98" s="262"/>
      <c r="E98" s="6"/>
    </row>
    <row r="99" spans="1:5" x14ac:dyDescent="0.25">
      <c r="A99" s="31" t="s">
        <v>468</v>
      </c>
      <c r="B99" s="32" t="s">
        <v>467</v>
      </c>
      <c r="C99" s="262"/>
      <c r="D99" s="262"/>
      <c r="E99" s="6"/>
    </row>
    <row r="100" spans="1:5" x14ac:dyDescent="0.25">
      <c r="A100" s="31" t="s">
        <v>470</v>
      </c>
      <c r="B100" s="32" t="s">
        <v>469</v>
      </c>
      <c r="C100" s="262"/>
      <c r="D100" s="262"/>
      <c r="E100" s="6"/>
    </row>
    <row r="101" spans="1:5" x14ac:dyDescent="0.25">
      <c r="A101" s="31" t="s">
        <v>472</v>
      </c>
      <c r="B101" s="32" t="s">
        <v>471</v>
      </c>
      <c r="C101" s="262"/>
      <c r="D101" s="262"/>
    </row>
    <row r="102" spans="1:5" x14ac:dyDescent="0.25">
      <c r="A102" s="31" t="s">
        <v>474</v>
      </c>
      <c r="B102" s="32" t="s">
        <v>473</v>
      </c>
      <c r="C102" s="262"/>
      <c r="D102" s="262"/>
    </row>
    <row r="103" spans="1:5" x14ac:dyDescent="0.25">
      <c r="A103" s="31" t="s">
        <v>476</v>
      </c>
      <c r="B103" s="32" t="s">
        <v>475</v>
      </c>
      <c r="C103" s="262"/>
      <c r="D103" s="262"/>
    </row>
    <row r="104" spans="1:5" x14ac:dyDescent="0.25">
      <c r="A104" s="31" t="s">
        <v>478</v>
      </c>
      <c r="B104" s="32" t="s">
        <v>477</v>
      </c>
      <c r="C104" s="262"/>
      <c r="D104" s="262"/>
    </row>
    <row r="105" spans="1:5" x14ac:dyDescent="0.25">
      <c r="A105" s="31" t="s">
        <v>480</v>
      </c>
      <c r="B105" s="32" t="s">
        <v>479</v>
      </c>
      <c r="C105" s="262"/>
      <c r="D105" s="262"/>
    </row>
    <row r="106" spans="1:5" x14ac:dyDescent="0.25">
      <c r="A106" s="31" t="s">
        <v>908</v>
      </c>
      <c r="B106" s="32" t="s">
        <v>909</v>
      </c>
      <c r="C106" s="262"/>
      <c r="D106" s="262"/>
      <c r="E106" s="6"/>
    </row>
    <row r="107" spans="1:5" x14ac:dyDescent="0.25">
      <c r="A107" s="31" t="s">
        <v>929</v>
      </c>
      <c r="B107" s="32" t="s">
        <v>930</v>
      </c>
      <c r="C107" s="262"/>
      <c r="D107" s="262"/>
    </row>
    <row r="108" spans="1:5" x14ac:dyDescent="0.25">
      <c r="A108" s="31" t="s">
        <v>1067</v>
      </c>
      <c r="B108" s="32" t="str">
        <f>_xlfn.XLOOKUP(A108,'Working 2 yo'!A:A,'Working 2 yo'!C:C)</f>
        <v>639310</v>
      </c>
      <c r="C108" s="262"/>
      <c r="D108" s="262"/>
    </row>
    <row r="109" spans="1:5" x14ac:dyDescent="0.25">
      <c r="A109" s="31" t="s">
        <v>940</v>
      </c>
      <c r="B109" s="32" t="s">
        <v>941</v>
      </c>
      <c r="C109" s="262"/>
      <c r="D109" s="262"/>
    </row>
    <row r="110" spans="1:5" x14ac:dyDescent="0.25">
      <c r="A110" s="31" t="s">
        <v>957</v>
      </c>
      <c r="B110" s="32" t="s">
        <v>958</v>
      </c>
      <c r="C110" s="262"/>
      <c r="D110" s="262"/>
    </row>
    <row r="111" spans="1:5" x14ac:dyDescent="0.25">
      <c r="A111" s="31" t="s">
        <v>482</v>
      </c>
      <c r="B111" s="32" t="s">
        <v>481</v>
      </c>
      <c r="C111" s="262"/>
      <c r="D111" s="262"/>
    </row>
    <row r="112" spans="1:5" x14ac:dyDescent="0.25">
      <c r="A112" s="31" t="s">
        <v>484</v>
      </c>
      <c r="B112" s="32" t="s">
        <v>483</v>
      </c>
      <c r="C112" s="262"/>
      <c r="D112" s="262"/>
    </row>
    <row r="113" spans="1:5" x14ac:dyDescent="0.25">
      <c r="A113" s="31" t="s">
        <v>486</v>
      </c>
      <c r="B113" s="32" t="s">
        <v>485</v>
      </c>
      <c r="C113" s="262"/>
      <c r="D113" s="262"/>
    </row>
    <row r="114" spans="1:5" x14ac:dyDescent="0.25">
      <c r="A114" s="31" t="s">
        <v>492</v>
      </c>
      <c r="B114" s="32" t="s">
        <v>491</v>
      </c>
      <c r="C114" s="262"/>
      <c r="D114" s="262"/>
    </row>
    <row r="115" spans="1:5" x14ac:dyDescent="0.25">
      <c r="A115" s="31" t="s">
        <v>494</v>
      </c>
      <c r="B115" s="32" t="s">
        <v>493</v>
      </c>
      <c r="C115" s="262"/>
      <c r="D115" s="262"/>
    </row>
    <row r="116" spans="1:5" x14ac:dyDescent="0.25">
      <c r="A116" s="31" t="s">
        <v>495</v>
      </c>
      <c r="B116" s="32">
        <v>206106</v>
      </c>
      <c r="C116" s="262"/>
      <c r="D116" s="262"/>
    </row>
    <row r="117" spans="1:5" x14ac:dyDescent="0.25">
      <c r="A117" s="31" t="s">
        <v>499</v>
      </c>
      <c r="B117" s="32" t="s">
        <v>498</v>
      </c>
      <c r="C117" s="262"/>
      <c r="D117" s="262"/>
    </row>
    <row r="118" spans="1:5" x14ac:dyDescent="0.25">
      <c r="A118" s="31" t="s">
        <v>501</v>
      </c>
      <c r="B118" s="32" t="s">
        <v>500</v>
      </c>
      <c r="C118" s="262"/>
      <c r="D118" s="262"/>
    </row>
    <row r="119" spans="1:5" x14ac:dyDescent="0.25">
      <c r="A119" s="31" t="s">
        <v>503</v>
      </c>
      <c r="B119" s="32" t="s">
        <v>502</v>
      </c>
      <c r="C119" s="262"/>
      <c r="D119" s="262"/>
    </row>
    <row r="120" spans="1:5" x14ac:dyDescent="0.25">
      <c r="A120" s="31" t="s">
        <v>982</v>
      </c>
      <c r="B120" s="32" t="s">
        <v>983</v>
      </c>
      <c r="C120" s="262"/>
      <c r="D120" s="262"/>
    </row>
    <row r="121" spans="1:5" x14ac:dyDescent="0.25">
      <c r="A121" s="31" t="s">
        <v>1053</v>
      </c>
      <c r="B121" s="32" t="str">
        <f>_xlfn.XLOOKUP(A121,'Additional Support 2 yo'!A:A,'Additional Support 2 yo'!C:C)</f>
        <v>2761782</v>
      </c>
      <c r="C121" s="262"/>
      <c r="D121" s="262"/>
    </row>
    <row r="122" spans="1:5" x14ac:dyDescent="0.25">
      <c r="A122" s="31" t="s">
        <v>1052</v>
      </c>
      <c r="B122" s="32" t="str">
        <f>_xlfn.XLOOKUP(A122,'Additional Support 2 yo'!A:A,'Additional Support 2 yo'!C:C)</f>
        <v>2762152</v>
      </c>
      <c r="C122" s="262"/>
      <c r="D122" s="262"/>
    </row>
    <row r="123" spans="1:5" x14ac:dyDescent="0.25">
      <c r="A123" s="31" t="s">
        <v>504</v>
      </c>
      <c r="B123" s="32">
        <v>206134</v>
      </c>
      <c r="C123" s="262"/>
      <c r="D123" s="262"/>
      <c r="E123" s="6"/>
    </row>
    <row r="124" spans="1:5" x14ac:dyDescent="0.25">
      <c r="A124" s="31" t="s">
        <v>985</v>
      </c>
      <c r="B124" s="32" t="s">
        <v>986</v>
      </c>
      <c r="C124" s="262"/>
      <c r="D124" s="262"/>
    </row>
    <row r="125" spans="1:5" x14ac:dyDescent="0.25">
      <c r="A125" s="31" t="s">
        <v>507</v>
      </c>
      <c r="B125" s="32">
        <v>206109</v>
      </c>
      <c r="C125" s="262"/>
      <c r="D125" s="262"/>
    </row>
    <row r="126" spans="1:5" x14ac:dyDescent="0.25">
      <c r="A126" s="31" t="s">
        <v>517</v>
      </c>
      <c r="B126" s="32" t="s">
        <v>516</v>
      </c>
      <c r="C126" s="262"/>
      <c r="D126" s="262"/>
    </row>
    <row r="127" spans="1:5" x14ac:dyDescent="0.25">
      <c r="A127" s="31" t="s">
        <v>510</v>
      </c>
      <c r="B127" s="32" t="s">
        <v>509</v>
      </c>
      <c r="C127" s="262"/>
      <c r="D127" s="262"/>
      <c r="E127" s="6"/>
    </row>
    <row r="128" spans="1:5" x14ac:dyDescent="0.25">
      <c r="A128" s="31" t="s">
        <v>512</v>
      </c>
      <c r="B128" s="32" t="s">
        <v>511</v>
      </c>
      <c r="C128" s="262"/>
      <c r="D128" s="262"/>
    </row>
    <row r="129" spans="1:5" x14ac:dyDescent="0.25">
      <c r="A129" s="31" t="s">
        <v>991</v>
      </c>
      <c r="B129" s="32" t="s">
        <v>992</v>
      </c>
      <c r="C129" s="262"/>
      <c r="D129" s="262"/>
    </row>
    <row r="130" spans="1:5" x14ac:dyDescent="0.25">
      <c r="A130" s="31" t="s">
        <v>514</v>
      </c>
      <c r="B130" s="32" t="s">
        <v>513</v>
      </c>
      <c r="C130" s="262"/>
      <c r="D130" s="262"/>
    </row>
    <row r="131" spans="1:5" x14ac:dyDescent="0.25">
      <c r="A131" s="31" t="s">
        <v>515</v>
      </c>
      <c r="B131" s="32">
        <v>509197</v>
      </c>
      <c r="C131" s="262"/>
      <c r="D131" s="262"/>
    </row>
    <row r="132" spans="1:5" x14ac:dyDescent="0.25">
      <c r="A132" s="31" t="s">
        <v>995</v>
      </c>
      <c r="B132" s="32" t="s">
        <v>996</v>
      </c>
      <c r="C132" s="262"/>
      <c r="D132" s="262"/>
    </row>
    <row r="133" spans="1:5" x14ac:dyDescent="0.25">
      <c r="A133" s="31" t="s">
        <v>519</v>
      </c>
      <c r="B133" s="32" t="s">
        <v>518</v>
      </c>
      <c r="C133" s="262"/>
      <c r="D133" s="262"/>
      <c r="E133" s="6"/>
    </row>
    <row r="134" spans="1:5" x14ac:dyDescent="0.25">
      <c r="A134" s="31" t="s">
        <v>520</v>
      </c>
      <c r="B134" s="32">
        <v>206117</v>
      </c>
      <c r="C134" s="262"/>
      <c r="D134" s="262"/>
    </row>
    <row r="135" spans="1:5" x14ac:dyDescent="0.25">
      <c r="A135" s="31" t="s">
        <v>521</v>
      </c>
      <c r="B135" s="32">
        <v>206141</v>
      </c>
      <c r="C135" s="262"/>
      <c r="D135" s="262"/>
    </row>
    <row r="136" spans="1:5" x14ac:dyDescent="0.25">
      <c r="A136" s="31" t="s">
        <v>523</v>
      </c>
      <c r="B136" s="32" t="s">
        <v>522</v>
      </c>
      <c r="C136" s="262"/>
      <c r="D136" s="262"/>
    </row>
    <row r="137" spans="1:5" x14ac:dyDescent="0.25">
      <c r="A137" s="31" t="s">
        <v>527</v>
      </c>
      <c r="B137" s="32">
        <v>258406</v>
      </c>
      <c r="C137" s="262"/>
      <c r="D137" s="262"/>
    </row>
    <row r="138" spans="1:5" x14ac:dyDescent="0.25">
      <c r="A138" s="31" t="s">
        <v>526</v>
      </c>
      <c r="B138" s="32">
        <v>258408</v>
      </c>
      <c r="C138" s="262"/>
      <c r="D138" s="262"/>
      <c r="E138" s="6"/>
    </row>
    <row r="139" spans="1:5" x14ac:dyDescent="0.25">
      <c r="A139" s="31" t="s">
        <v>528</v>
      </c>
      <c r="B139" s="32"/>
      <c r="C139" s="262"/>
      <c r="D139" s="262"/>
    </row>
    <row r="140" spans="1:5" x14ac:dyDescent="0.25">
      <c r="A140" s="31" t="s">
        <v>530</v>
      </c>
      <c r="B140" s="32" t="s">
        <v>529</v>
      </c>
      <c r="C140" s="262"/>
      <c r="D140" s="262"/>
    </row>
    <row r="141" spans="1:5" x14ac:dyDescent="0.25">
      <c r="A141" s="31" t="s">
        <v>531</v>
      </c>
      <c r="B141" s="32">
        <v>206146</v>
      </c>
      <c r="C141" s="262"/>
      <c r="D141" s="262"/>
    </row>
    <row r="142" spans="1:5" x14ac:dyDescent="0.25">
      <c r="A142" s="31" t="s">
        <v>533</v>
      </c>
      <c r="B142" s="32" t="s">
        <v>532</v>
      </c>
      <c r="C142" s="262"/>
      <c r="D142" s="262"/>
    </row>
    <row r="143" spans="1:5" x14ac:dyDescent="0.25">
      <c r="A143" s="31" t="s">
        <v>1008</v>
      </c>
      <c r="B143" s="32" t="s">
        <v>1009</v>
      </c>
      <c r="C143" s="262"/>
      <c r="D143" s="262"/>
      <c r="E143" s="6"/>
    </row>
    <row r="144" spans="1:5" x14ac:dyDescent="0.25">
      <c r="A144" s="31" t="s">
        <v>1057</v>
      </c>
      <c r="B144" s="32" t="str">
        <f>_xlfn.XLOOKUP(A144,'Additional Support 2 yo'!A:A,'Additional Support 2 yo'!C:C)</f>
        <v>2806192</v>
      </c>
      <c r="C144" s="262"/>
      <c r="D144" s="262"/>
    </row>
    <row r="145" spans="1:5" x14ac:dyDescent="0.25">
      <c r="A145" s="31" t="s">
        <v>534</v>
      </c>
      <c r="B145" s="32">
        <v>2534321</v>
      </c>
      <c r="C145" s="262"/>
      <c r="D145" s="262"/>
    </row>
    <row r="146" spans="1:5" x14ac:dyDescent="0.25">
      <c r="A146" s="31" t="s">
        <v>536</v>
      </c>
      <c r="B146" s="32" t="s">
        <v>535</v>
      </c>
      <c r="C146" s="262"/>
      <c r="D146" s="262"/>
    </row>
    <row r="147" spans="1:5" x14ac:dyDescent="0.25">
      <c r="A147" s="31" t="s">
        <v>576</v>
      </c>
      <c r="B147" s="32" t="s">
        <v>575</v>
      </c>
      <c r="C147" s="262"/>
      <c r="D147" s="262"/>
      <c r="E147" s="6"/>
    </row>
    <row r="148" spans="1:5" x14ac:dyDescent="0.25">
      <c r="A148" s="31" t="s">
        <v>538</v>
      </c>
      <c r="B148" s="32" t="s">
        <v>537</v>
      </c>
      <c r="C148" s="262"/>
      <c r="D148" s="262"/>
      <c r="E148" s="6"/>
    </row>
    <row r="149" spans="1:5" x14ac:dyDescent="0.25">
      <c r="A149" s="31" t="s">
        <v>540</v>
      </c>
      <c r="B149" s="32" t="s">
        <v>539</v>
      </c>
      <c r="C149" s="262"/>
      <c r="D149" s="262"/>
    </row>
    <row r="150" spans="1:5" x14ac:dyDescent="0.25">
      <c r="A150" s="31" t="s">
        <v>1014</v>
      </c>
      <c r="B150" s="32" t="s">
        <v>1015</v>
      </c>
      <c r="C150" s="262"/>
      <c r="D150" s="262"/>
    </row>
    <row r="151" spans="1:5" x14ac:dyDescent="0.25">
      <c r="A151" s="31" t="s">
        <v>542</v>
      </c>
      <c r="B151" s="32" t="s">
        <v>541</v>
      </c>
      <c r="C151" s="262"/>
      <c r="D151" s="262"/>
      <c r="E151" s="6"/>
    </row>
    <row r="152" spans="1:5" x14ac:dyDescent="0.25">
      <c r="A152" s="31" t="s">
        <v>544</v>
      </c>
      <c r="B152" s="32" t="s">
        <v>543</v>
      </c>
      <c r="C152" s="262"/>
      <c r="D152" s="262"/>
    </row>
    <row r="153" spans="1:5" x14ac:dyDescent="0.25">
      <c r="A153" s="31" t="s">
        <v>546</v>
      </c>
      <c r="B153" s="32" t="s">
        <v>545</v>
      </c>
      <c r="C153" s="262"/>
      <c r="D153" s="262"/>
    </row>
    <row r="154" spans="1:5" x14ac:dyDescent="0.25">
      <c r="A154" s="31" t="s">
        <v>548</v>
      </c>
      <c r="B154" s="32" t="s">
        <v>547</v>
      </c>
      <c r="C154" s="262"/>
      <c r="D154" s="262"/>
    </row>
    <row r="155" spans="1:5" x14ac:dyDescent="0.25">
      <c r="A155" s="31" t="s">
        <v>550</v>
      </c>
      <c r="B155" s="32" t="s">
        <v>549</v>
      </c>
      <c r="C155" s="262"/>
      <c r="D155" s="262"/>
      <c r="E155" s="6"/>
    </row>
    <row r="156" spans="1:5" x14ac:dyDescent="0.25">
      <c r="A156" s="31" t="s">
        <v>1021</v>
      </c>
      <c r="B156" s="32" t="s">
        <v>1022</v>
      </c>
      <c r="C156" s="262"/>
      <c r="D156" s="262"/>
    </row>
    <row r="157" spans="1:5" x14ac:dyDescent="0.25">
      <c r="A157" s="31" t="s">
        <v>553</v>
      </c>
      <c r="B157" s="32" t="s">
        <v>552</v>
      </c>
      <c r="C157" s="262"/>
      <c r="D157" s="262"/>
    </row>
    <row r="158" spans="1:5" x14ac:dyDescent="0.25">
      <c r="A158" s="31" t="s">
        <v>554</v>
      </c>
      <c r="B158" s="32" t="s">
        <v>1024</v>
      </c>
      <c r="C158" s="262"/>
      <c r="D158" s="262"/>
    </row>
    <row r="159" spans="1:5" x14ac:dyDescent="0.25">
      <c r="A159" s="31" t="s">
        <v>556</v>
      </c>
      <c r="B159" s="32" t="s">
        <v>555</v>
      </c>
      <c r="C159" s="262"/>
      <c r="D159" s="262"/>
    </row>
    <row r="160" spans="1:5" x14ac:dyDescent="0.25">
      <c r="A160" s="31" t="s">
        <v>557</v>
      </c>
      <c r="B160" s="32">
        <v>206103</v>
      </c>
      <c r="C160" s="262"/>
      <c r="D160" s="262"/>
    </row>
    <row r="161" spans="1:4" x14ac:dyDescent="0.25">
      <c r="A161" s="31" t="s">
        <v>558</v>
      </c>
      <c r="B161" s="32">
        <v>2614882</v>
      </c>
      <c r="C161" s="262"/>
      <c r="D161" s="262"/>
    </row>
    <row r="162" spans="1:4" x14ac:dyDescent="0.25">
      <c r="A162" s="31" t="s">
        <v>560</v>
      </c>
      <c r="B162" s="32" t="s">
        <v>559</v>
      </c>
      <c r="C162" s="262"/>
      <c r="D162" s="262"/>
    </row>
    <row r="163" spans="1:4" x14ac:dyDescent="0.25">
      <c r="A163" s="31" t="s">
        <v>525</v>
      </c>
      <c r="B163" s="32" t="s">
        <v>524</v>
      </c>
      <c r="C163" s="262"/>
      <c r="D163" s="262"/>
    </row>
    <row r="164" spans="1:4" x14ac:dyDescent="0.25">
      <c r="A164" s="31" t="s">
        <v>1055</v>
      </c>
      <c r="B164" s="32">
        <f>_xlfn.XLOOKUP(A164,'Additional Support 2 yo'!A:A,'Additional Support 2 yo'!B:B)</f>
        <v>258408</v>
      </c>
      <c r="C164" s="262"/>
      <c r="D164" s="262"/>
    </row>
    <row r="165" spans="1:4" x14ac:dyDescent="0.25">
      <c r="A165" s="31" t="s">
        <v>563</v>
      </c>
      <c r="B165" s="32">
        <v>2498864</v>
      </c>
      <c r="C165" s="262"/>
      <c r="D165" s="262"/>
    </row>
    <row r="166" spans="1:4" x14ac:dyDescent="0.25">
      <c r="A166" s="31" t="s">
        <v>565</v>
      </c>
      <c r="B166" s="32" t="s">
        <v>564</v>
      </c>
      <c r="C166" s="262"/>
      <c r="D166" s="262"/>
    </row>
    <row r="167" spans="1:4" x14ac:dyDescent="0.25">
      <c r="A167" s="31" t="s">
        <v>1031</v>
      </c>
      <c r="B167" s="32" t="s">
        <v>1032</v>
      </c>
      <c r="C167" s="262"/>
      <c r="D167" s="262"/>
    </row>
    <row r="168" spans="1:4" x14ac:dyDescent="0.25">
      <c r="A168" s="31" t="s">
        <v>568</v>
      </c>
      <c r="B168" s="32" t="s">
        <v>567</v>
      </c>
      <c r="C168" s="262"/>
      <c r="D168" s="262"/>
    </row>
    <row r="169" spans="1:4" x14ac:dyDescent="0.25">
      <c r="A169" s="31" t="s">
        <v>570</v>
      </c>
      <c r="B169" s="32" t="s">
        <v>569</v>
      </c>
      <c r="C169" s="262"/>
      <c r="D169" s="262"/>
    </row>
    <row r="170" spans="1:4" x14ac:dyDescent="0.25">
      <c r="A170" s="31" t="s">
        <v>572</v>
      </c>
      <c r="B170" s="32" t="s">
        <v>571</v>
      </c>
      <c r="C170" s="262"/>
      <c r="D170" s="262"/>
    </row>
    <row r="171" spans="1:4" x14ac:dyDescent="0.25">
      <c r="A171" s="31" t="s">
        <v>573</v>
      </c>
      <c r="B171" s="32">
        <v>2568273</v>
      </c>
      <c r="C171" s="262"/>
      <c r="D171" s="262"/>
    </row>
    <row r="172" spans="1:4" x14ac:dyDescent="0.25">
      <c r="A172" s="31" t="s">
        <v>574</v>
      </c>
      <c r="B172" s="32">
        <v>509204</v>
      </c>
      <c r="C172" s="262"/>
      <c r="D172" s="262"/>
    </row>
    <row r="173" spans="1:4" x14ac:dyDescent="0.25">
      <c r="A173"/>
    </row>
    <row r="174" spans="1:4" x14ac:dyDescent="0.25">
      <c r="A174"/>
    </row>
    <row r="175" spans="1:4" x14ac:dyDescent="0.25">
      <c r="A175"/>
    </row>
    <row r="176" spans="1:4"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sheetData>
  <sheetProtection autoFilter="0"/>
  <autoFilter ref="A6:E172" xr:uid="{00000000-0009-0000-0000-000008000000}"/>
  <sortState xmlns:xlrd2="http://schemas.microsoft.com/office/spreadsheetml/2017/richdata2" ref="A8:B172">
    <sortCondition ref="A8:A172"/>
  </sortState>
  <pageMargins left="0.7" right="0.7" top="0.75" bottom="0.75" header="0.3" footer="0.3"/>
  <pageSetup paperSize="9" orientation="portrait" r:id="rId1"/>
  <headerFooter>
    <oddHeader>&amp;L&amp;"arial,Bold"&amp;11&amp;K008040Classification: OFFICIAL</oddHeader>
    <oddFooter>&amp;L&amp;"arial,Bold"&amp;11&amp;K008040Classification: OFFICIAL</oddFooter>
    <evenHeader>&amp;L&amp;"arial,Bold"&amp;11&amp;K008040Classification: OFFICIAL</evenHeader>
    <evenFooter>&amp;L&amp;"arial,Bold"&amp;11&amp;K008040Classification: OFFICIAL</evenFooter>
    <firstHeader>&amp;L&amp;"arial,Bold"&amp;11&amp;K008040Classification: OFFICIAL</firstHeader>
    <firstFooter>&amp;L&amp;"arial,Bold"&amp;11&amp;K008040Classification: OFFICIAL</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7030A0"/>
  </sheetPr>
  <dimension ref="A1:T14"/>
  <sheetViews>
    <sheetView zoomScaleNormal="100" workbookViewId="0">
      <selection activeCell="C1" sqref="C1"/>
    </sheetView>
  </sheetViews>
  <sheetFormatPr defaultColWidth="9.1796875" defaultRowHeight="12.5" x14ac:dyDescent="0.25"/>
  <cols>
    <col min="1" max="1" width="22.81640625" style="591" bestFit="1" customWidth="1"/>
    <col min="2" max="2" width="6.81640625" style="591" bestFit="1" customWidth="1"/>
    <col min="3" max="7" width="9.1796875" style="1" customWidth="1"/>
    <col min="8" max="16384" width="9.1796875" style="1"/>
  </cols>
  <sheetData>
    <row r="1" spans="1:20" ht="13.15" customHeight="1" x14ac:dyDescent="0.25">
      <c r="B1" s="592"/>
      <c r="C1" s="47"/>
      <c r="D1" s="47"/>
      <c r="E1" s="47"/>
      <c r="F1" s="47"/>
      <c r="G1" s="44"/>
      <c r="H1" s="44"/>
    </row>
    <row r="2" spans="1:20" x14ac:dyDescent="0.25">
      <c r="B2" s="592"/>
      <c r="C2" s="47"/>
      <c r="D2" s="47"/>
      <c r="E2" s="47"/>
      <c r="F2" s="47"/>
    </row>
    <row r="3" spans="1:20" x14ac:dyDescent="0.25">
      <c r="B3" s="592"/>
      <c r="C3" s="47"/>
      <c r="D3" s="47"/>
      <c r="E3" s="47"/>
      <c r="F3" s="47"/>
    </row>
    <row r="5" spans="1:20" x14ac:dyDescent="0.25">
      <c r="A5" s="591" t="s">
        <v>1</v>
      </c>
      <c r="B5" s="591" t="s">
        <v>270</v>
      </c>
    </row>
    <row r="6" spans="1:20" x14ac:dyDescent="0.25">
      <c r="A6" s="591" t="s">
        <v>265</v>
      </c>
      <c r="B6" s="591">
        <v>147491</v>
      </c>
      <c r="T6" s="40"/>
    </row>
    <row r="7" spans="1:20" x14ac:dyDescent="0.25">
      <c r="A7" s="591" t="s">
        <v>1141</v>
      </c>
      <c r="B7" s="591">
        <v>147132</v>
      </c>
      <c r="T7" s="40"/>
    </row>
    <row r="8" spans="1:20" x14ac:dyDescent="0.25">
      <c r="A8" s="591" t="s">
        <v>1143</v>
      </c>
      <c r="B8" s="591">
        <v>147137</v>
      </c>
    </row>
    <row r="9" spans="1:20" x14ac:dyDescent="0.25">
      <c r="A9" s="591" t="s">
        <v>1144</v>
      </c>
      <c r="B9" s="591">
        <v>147558</v>
      </c>
    </row>
    <row r="10" spans="1:20" x14ac:dyDescent="0.25">
      <c r="A10" s="591" t="s">
        <v>1145</v>
      </c>
      <c r="B10" s="591">
        <v>147143</v>
      </c>
    </row>
    <row r="11" spans="1:20" x14ac:dyDescent="0.25">
      <c r="A11" s="591" t="s">
        <v>268</v>
      </c>
      <c r="B11" s="591">
        <v>135345</v>
      </c>
    </row>
    <row r="13" spans="1:20" x14ac:dyDescent="0.25">
      <c r="A13" s="591" t="s">
        <v>156</v>
      </c>
      <c r="B13" s="591">
        <v>136071</v>
      </c>
    </row>
    <row r="14" spans="1:20" x14ac:dyDescent="0.25">
      <c r="A14" s="591" t="s">
        <v>1149</v>
      </c>
      <c r="B14" s="591">
        <v>138277</v>
      </c>
    </row>
  </sheetData>
  <sheetProtection selectLockedCells="1" selectUnlockedCells="1"/>
  <pageMargins left="0.7" right="0.7" top="0.75" bottom="0.75" header="0.3" footer="0.3"/>
  <pageSetup paperSize="9" orientation="portrait" r:id="rId1"/>
  <headerFooter>
    <oddHeader>&amp;L&amp;"arial,Bold"&amp;11&amp;K008040Classification: OFFICIAL</oddHeader>
    <oddFooter>&amp;L&amp;"arial,Bold"&amp;11&amp;K008040Classification: OFFICIAL</oddFooter>
    <evenHeader>&amp;L&amp;"arial,Bold"&amp;11&amp;K008040Classification: OFFICIAL</evenHeader>
    <evenFooter>&amp;L&amp;"arial,Bold"&amp;11&amp;K008040Classification: OFFICIAL</evenFooter>
    <firstHeader>&amp;L&amp;"arial,Bold"&amp;11&amp;K008040Classification: OFFICIAL</firstHeader>
    <firstFooter>&amp;L&amp;"arial,Bold"&amp;11&amp;K008040Classification: OFFICIAL</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489A-A35C-4E74-9ED9-2633D7047312}">
  <sheetPr codeName="Sheet21">
    <tabColor rgb="FFFF0000"/>
  </sheetPr>
  <dimension ref="A1:E244"/>
  <sheetViews>
    <sheetView topLeftCell="A160" workbookViewId="0">
      <selection activeCell="C1" sqref="C1"/>
    </sheetView>
  </sheetViews>
  <sheetFormatPr defaultRowHeight="12.5" x14ac:dyDescent="0.25"/>
  <cols>
    <col min="1" max="1" width="72.26953125" customWidth="1"/>
    <col min="2" max="2" width="15.54296875" customWidth="1"/>
    <col min="3" max="3" width="15" customWidth="1"/>
    <col min="4" max="4" width="13" customWidth="1"/>
    <col min="5" max="5" width="13.1796875" customWidth="1"/>
  </cols>
  <sheetData>
    <row r="1" spans="1:5" x14ac:dyDescent="0.25">
      <c r="A1" s="25" t="s">
        <v>760</v>
      </c>
      <c r="B1" s="25"/>
      <c r="C1" s="26">
        <v>12345</v>
      </c>
      <c r="D1" s="27"/>
      <c r="E1" s="26"/>
    </row>
    <row r="2" spans="1:5" ht="13" x14ac:dyDescent="0.25">
      <c r="A2" s="28" t="s">
        <v>766</v>
      </c>
      <c r="B2" s="28"/>
      <c r="C2" s="29" t="s">
        <v>61</v>
      </c>
      <c r="D2" s="26">
        <v>6</v>
      </c>
      <c r="E2" s="30">
        <v>6</v>
      </c>
    </row>
    <row r="3" spans="1:5" x14ac:dyDescent="0.25">
      <c r="A3" s="31" t="s">
        <v>331</v>
      </c>
      <c r="B3" s="32" t="s">
        <v>650</v>
      </c>
      <c r="C3" s="32">
        <v>206189</v>
      </c>
      <c r="D3" s="32" t="s">
        <v>651</v>
      </c>
      <c r="E3" s="32">
        <v>4</v>
      </c>
    </row>
    <row r="4" spans="1:5" x14ac:dyDescent="0.25">
      <c r="A4" s="31" t="s">
        <v>98</v>
      </c>
      <c r="B4" s="32">
        <v>8312014</v>
      </c>
      <c r="C4" s="32">
        <v>2014</v>
      </c>
      <c r="D4" s="32">
        <v>0</v>
      </c>
      <c r="E4" s="32">
        <v>0</v>
      </c>
    </row>
    <row r="5" spans="1:5" x14ac:dyDescent="0.25">
      <c r="A5" s="31" t="s">
        <v>96</v>
      </c>
      <c r="B5" s="32">
        <v>8312012</v>
      </c>
      <c r="C5" s="32">
        <v>2012</v>
      </c>
      <c r="D5" s="32">
        <v>0</v>
      </c>
      <c r="E5" s="32">
        <v>0</v>
      </c>
    </row>
    <row r="6" spans="1:5" x14ac:dyDescent="0.25">
      <c r="A6" s="31" t="s">
        <v>149</v>
      </c>
      <c r="B6" s="32">
        <v>8315414</v>
      </c>
      <c r="C6" s="32">
        <v>5414</v>
      </c>
      <c r="D6" s="32">
        <v>0</v>
      </c>
      <c r="E6" s="32">
        <v>0</v>
      </c>
    </row>
    <row r="7" spans="1:5" x14ac:dyDescent="0.25">
      <c r="A7" s="31" t="s">
        <v>332</v>
      </c>
      <c r="B7" s="32"/>
      <c r="C7" s="32">
        <v>2579160</v>
      </c>
      <c r="D7" s="32" t="s">
        <v>591</v>
      </c>
      <c r="E7" s="32">
        <v>3</v>
      </c>
    </row>
    <row r="8" spans="1:5" x14ac:dyDescent="0.25">
      <c r="A8" s="31" t="s">
        <v>71</v>
      </c>
      <c r="B8" s="32" t="s">
        <v>605</v>
      </c>
      <c r="C8" s="32">
        <v>2443</v>
      </c>
      <c r="D8" s="32" t="s">
        <v>606</v>
      </c>
      <c r="E8" s="32">
        <v>1</v>
      </c>
    </row>
    <row r="9" spans="1:5" x14ac:dyDescent="0.25">
      <c r="A9" s="31" t="s">
        <v>112</v>
      </c>
      <c r="B9" s="32">
        <v>8312442</v>
      </c>
      <c r="C9" s="32">
        <v>2442</v>
      </c>
      <c r="D9" s="32">
        <v>0</v>
      </c>
      <c r="E9" s="32">
        <v>0</v>
      </c>
    </row>
    <row r="10" spans="1:5" x14ac:dyDescent="0.25">
      <c r="A10" s="31" t="s">
        <v>144</v>
      </c>
      <c r="B10" s="32">
        <v>8314011</v>
      </c>
      <c r="C10" s="32">
        <v>4011</v>
      </c>
      <c r="D10" s="32">
        <v>0</v>
      </c>
      <c r="E10" s="32">
        <v>0</v>
      </c>
    </row>
    <row r="11" spans="1:5" x14ac:dyDescent="0.25">
      <c r="A11" s="31" t="s">
        <v>334</v>
      </c>
      <c r="B11" s="32" t="s">
        <v>653</v>
      </c>
      <c r="C11" s="32" t="s">
        <v>333</v>
      </c>
      <c r="D11" s="32" t="s">
        <v>651</v>
      </c>
      <c r="E11" s="32">
        <v>4</v>
      </c>
    </row>
    <row r="12" spans="1:5" x14ac:dyDescent="0.25">
      <c r="A12" s="31" t="s">
        <v>124</v>
      </c>
      <c r="B12" s="32">
        <v>8312629</v>
      </c>
      <c r="C12" s="32">
        <v>2629</v>
      </c>
      <c r="D12" s="32" t="s">
        <v>629</v>
      </c>
      <c r="E12" s="32">
        <v>1</v>
      </c>
    </row>
    <row r="13" spans="1:5" x14ac:dyDescent="0.25">
      <c r="A13" s="31" t="s">
        <v>121</v>
      </c>
      <c r="B13" s="32">
        <v>8312509</v>
      </c>
      <c r="C13" s="32">
        <v>2509</v>
      </c>
      <c r="D13" s="32" t="s">
        <v>629</v>
      </c>
      <c r="E13" s="32">
        <v>1</v>
      </c>
    </row>
    <row r="14" spans="1:5" x14ac:dyDescent="0.25">
      <c r="A14" s="31" t="s">
        <v>324</v>
      </c>
      <c r="B14" s="32" t="s">
        <v>607</v>
      </c>
      <c r="C14" s="32">
        <v>1014</v>
      </c>
      <c r="D14" s="32" t="s">
        <v>592</v>
      </c>
      <c r="E14" s="32">
        <v>2</v>
      </c>
    </row>
    <row r="15" spans="1:5" x14ac:dyDescent="0.25">
      <c r="A15" s="31" t="s">
        <v>64</v>
      </c>
      <c r="B15" s="32">
        <v>8312005</v>
      </c>
      <c r="C15" s="32">
        <v>2005</v>
      </c>
      <c r="D15" s="32" t="s">
        <v>606</v>
      </c>
      <c r="E15" s="32">
        <v>0</v>
      </c>
    </row>
    <row r="16" spans="1:5" x14ac:dyDescent="0.25">
      <c r="A16" s="31" t="s">
        <v>104</v>
      </c>
      <c r="B16" s="32">
        <v>8312021</v>
      </c>
      <c r="C16" s="32">
        <v>2021</v>
      </c>
      <c r="D16" s="32" t="s">
        <v>629</v>
      </c>
      <c r="E16" s="32">
        <v>1</v>
      </c>
    </row>
    <row r="17" spans="1:5" x14ac:dyDescent="0.25">
      <c r="A17" s="31" t="s">
        <v>117</v>
      </c>
      <c r="B17" s="32">
        <v>8312464</v>
      </c>
      <c r="C17" s="32">
        <v>2464</v>
      </c>
      <c r="D17" s="32" t="s">
        <v>629</v>
      </c>
      <c r="E17" s="32">
        <v>1</v>
      </c>
    </row>
    <row r="18" spans="1:5" x14ac:dyDescent="0.25">
      <c r="A18" s="31" t="s">
        <v>89</v>
      </c>
      <c r="B18" s="32">
        <v>8312004</v>
      </c>
      <c r="C18" s="32">
        <v>2004</v>
      </c>
      <c r="D18" s="32" t="s">
        <v>629</v>
      </c>
      <c r="E18" s="32">
        <v>1</v>
      </c>
    </row>
    <row r="19" spans="1:5" x14ac:dyDescent="0.25">
      <c r="A19" s="31" t="s">
        <v>65</v>
      </c>
      <c r="B19" s="32" t="s">
        <v>608</v>
      </c>
      <c r="C19" s="32">
        <v>2405</v>
      </c>
      <c r="D19" s="32" t="s">
        <v>606</v>
      </c>
      <c r="E19" s="32">
        <v>1</v>
      </c>
    </row>
    <row r="20" spans="1:5" x14ac:dyDescent="0.25">
      <c r="A20" s="31" t="s">
        <v>167</v>
      </c>
      <c r="B20" s="32" t="s">
        <v>654</v>
      </c>
      <c r="C20" s="32" t="s">
        <v>335</v>
      </c>
      <c r="D20" s="32" t="s">
        <v>651</v>
      </c>
      <c r="E20" s="32">
        <v>4</v>
      </c>
    </row>
    <row r="21" spans="1:5" x14ac:dyDescent="0.25">
      <c r="A21" s="31" t="s">
        <v>95</v>
      </c>
      <c r="B21" s="32">
        <v>8312011</v>
      </c>
      <c r="C21" s="32">
        <v>2011</v>
      </c>
      <c r="D21" s="32" t="s">
        <v>629</v>
      </c>
      <c r="E21" s="32">
        <v>1</v>
      </c>
    </row>
    <row r="22" spans="1:5" x14ac:dyDescent="0.25">
      <c r="A22" s="31" t="s">
        <v>337</v>
      </c>
      <c r="B22" s="32" t="s">
        <v>655</v>
      </c>
      <c r="C22" s="32" t="s">
        <v>336</v>
      </c>
      <c r="D22" s="32" t="s">
        <v>651</v>
      </c>
      <c r="E22" s="32">
        <v>4</v>
      </c>
    </row>
    <row r="23" spans="1:5" x14ac:dyDescent="0.25">
      <c r="A23" s="31" t="s">
        <v>136</v>
      </c>
      <c r="B23" s="32">
        <v>8315201</v>
      </c>
      <c r="C23" s="32">
        <v>5201</v>
      </c>
      <c r="D23" s="32" t="s">
        <v>629</v>
      </c>
      <c r="E23" s="32">
        <v>1</v>
      </c>
    </row>
    <row r="24" spans="1:5" x14ac:dyDescent="0.25">
      <c r="A24" s="31" t="s">
        <v>338</v>
      </c>
      <c r="B24" s="32" t="s">
        <v>656</v>
      </c>
      <c r="C24" s="32">
        <v>206124</v>
      </c>
      <c r="D24" s="32" t="s">
        <v>651</v>
      </c>
      <c r="E24" s="32">
        <v>4</v>
      </c>
    </row>
    <row r="25" spans="1:5" x14ac:dyDescent="0.25">
      <c r="A25" s="31" t="s">
        <v>109</v>
      </c>
      <c r="B25" s="32">
        <v>8312026</v>
      </c>
      <c r="C25" s="32">
        <v>2026</v>
      </c>
      <c r="D25" s="32" t="s">
        <v>629</v>
      </c>
      <c r="E25" s="32">
        <v>1</v>
      </c>
    </row>
    <row r="26" spans="1:5" x14ac:dyDescent="0.25">
      <c r="A26" s="31" t="s">
        <v>340</v>
      </c>
      <c r="B26" s="32" t="s">
        <v>657</v>
      </c>
      <c r="C26" s="32" t="s">
        <v>339</v>
      </c>
      <c r="D26" s="32" t="s">
        <v>651</v>
      </c>
      <c r="E26" s="32">
        <v>4</v>
      </c>
    </row>
    <row r="27" spans="1:5" x14ac:dyDescent="0.25">
      <c r="A27" s="31" t="s">
        <v>101</v>
      </c>
      <c r="B27" s="32">
        <v>8312018</v>
      </c>
      <c r="C27" s="32">
        <v>2018</v>
      </c>
      <c r="D27" s="32" t="s">
        <v>629</v>
      </c>
      <c r="E27" s="32">
        <v>1</v>
      </c>
    </row>
    <row r="28" spans="1:5" x14ac:dyDescent="0.25">
      <c r="A28" s="31" t="s">
        <v>122</v>
      </c>
      <c r="B28" s="32">
        <v>8312512</v>
      </c>
      <c r="C28" s="32">
        <v>2512</v>
      </c>
      <c r="D28" s="32" t="s">
        <v>629</v>
      </c>
      <c r="E28" s="32">
        <v>1</v>
      </c>
    </row>
    <row r="29" spans="1:5" x14ac:dyDescent="0.25">
      <c r="A29" s="31" t="s">
        <v>341</v>
      </c>
      <c r="B29" s="32" t="s">
        <v>658</v>
      </c>
      <c r="C29" s="32">
        <v>206126</v>
      </c>
      <c r="D29" s="32" t="s">
        <v>651</v>
      </c>
      <c r="E29" s="32">
        <v>4</v>
      </c>
    </row>
    <row r="30" spans="1:5" x14ac:dyDescent="0.25">
      <c r="A30" s="31" t="s">
        <v>342</v>
      </c>
      <c r="B30" s="32" t="s">
        <v>659</v>
      </c>
      <c r="C30" s="32">
        <v>206111</v>
      </c>
      <c r="D30" s="32" t="s">
        <v>591</v>
      </c>
      <c r="E30" s="32">
        <v>3</v>
      </c>
    </row>
    <row r="31" spans="1:5" x14ac:dyDescent="0.25">
      <c r="A31" s="31" t="s">
        <v>343</v>
      </c>
      <c r="B31" s="32" t="s">
        <v>660</v>
      </c>
      <c r="C31" s="32">
        <v>206091</v>
      </c>
      <c r="D31" s="32" t="s">
        <v>591</v>
      </c>
      <c r="E31" s="32">
        <v>3</v>
      </c>
    </row>
    <row r="32" spans="1:5" x14ac:dyDescent="0.25">
      <c r="A32" s="31" t="s">
        <v>115</v>
      </c>
      <c r="B32" s="32">
        <v>8312456</v>
      </c>
      <c r="C32" s="32">
        <v>2456</v>
      </c>
      <c r="D32" s="32" t="s">
        <v>629</v>
      </c>
      <c r="E32" s="32">
        <v>1</v>
      </c>
    </row>
    <row r="33" spans="1:5" x14ac:dyDescent="0.25">
      <c r="A33" s="31" t="s">
        <v>110</v>
      </c>
      <c r="B33" s="32">
        <v>0</v>
      </c>
      <c r="C33" s="32">
        <v>2027</v>
      </c>
      <c r="D33" s="32" t="s">
        <v>629</v>
      </c>
      <c r="E33" s="32">
        <v>1</v>
      </c>
    </row>
    <row r="34" spans="1:5" x14ac:dyDescent="0.25">
      <c r="A34" s="31" t="s">
        <v>73</v>
      </c>
      <c r="B34" s="32" t="s">
        <v>611</v>
      </c>
      <c r="C34" s="32">
        <v>2449</v>
      </c>
      <c r="D34" s="32" t="s">
        <v>606</v>
      </c>
      <c r="E34" s="32">
        <v>1</v>
      </c>
    </row>
    <row r="35" spans="1:5" x14ac:dyDescent="0.25">
      <c r="A35" s="31" t="s">
        <v>102</v>
      </c>
      <c r="B35" s="32">
        <v>8312019</v>
      </c>
      <c r="C35" s="32">
        <v>2019</v>
      </c>
      <c r="D35" s="32">
        <v>0</v>
      </c>
      <c r="E35" s="32">
        <v>0</v>
      </c>
    </row>
    <row r="36" spans="1:5" x14ac:dyDescent="0.25">
      <c r="A36" s="31" t="s">
        <v>325</v>
      </c>
      <c r="B36" s="32" t="s">
        <v>612</v>
      </c>
      <c r="C36" s="32">
        <v>1006</v>
      </c>
      <c r="D36" s="32" t="s">
        <v>592</v>
      </c>
      <c r="E36" s="32">
        <v>2</v>
      </c>
    </row>
    <row r="37" spans="1:5" x14ac:dyDescent="0.25">
      <c r="A37" s="31" t="s">
        <v>119</v>
      </c>
      <c r="B37" s="32">
        <v>8312467</v>
      </c>
      <c r="C37" s="32">
        <v>2467</v>
      </c>
      <c r="D37" s="32" t="s">
        <v>629</v>
      </c>
      <c r="E37" s="32">
        <v>1</v>
      </c>
    </row>
    <row r="38" spans="1:5" x14ac:dyDescent="0.25">
      <c r="A38" s="31" t="s">
        <v>145</v>
      </c>
      <c r="B38" s="32">
        <v>8314012</v>
      </c>
      <c r="C38" s="32">
        <v>4012</v>
      </c>
      <c r="D38" s="32">
        <v>0</v>
      </c>
      <c r="E38" s="32">
        <v>0</v>
      </c>
    </row>
    <row r="39" spans="1:5" x14ac:dyDescent="0.25">
      <c r="A39" s="31" t="s">
        <v>114</v>
      </c>
      <c r="B39" s="32">
        <v>8312455</v>
      </c>
      <c r="C39" s="32">
        <v>2455</v>
      </c>
      <c r="D39" s="32">
        <v>0</v>
      </c>
      <c r="E39" s="32">
        <v>0</v>
      </c>
    </row>
    <row r="40" spans="1:5" x14ac:dyDescent="0.25">
      <c r="A40" s="31" t="s">
        <v>137</v>
      </c>
      <c r="B40" s="32">
        <v>8315203</v>
      </c>
      <c r="C40" s="32">
        <v>5203</v>
      </c>
      <c r="D40" s="32">
        <v>0</v>
      </c>
      <c r="E40" s="32">
        <v>0</v>
      </c>
    </row>
    <row r="41" spans="1:5" x14ac:dyDescent="0.25">
      <c r="A41" s="31" t="s">
        <v>113</v>
      </c>
      <c r="B41" s="32">
        <v>8312451</v>
      </c>
      <c r="C41" s="32">
        <v>2451</v>
      </c>
      <c r="D41" s="32" t="s">
        <v>629</v>
      </c>
      <c r="E41" s="32">
        <v>1</v>
      </c>
    </row>
    <row r="42" spans="1:5" x14ac:dyDescent="0.25">
      <c r="A42" s="31" t="s">
        <v>488</v>
      </c>
      <c r="B42" s="32" t="s">
        <v>706</v>
      </c>
      <c r="C42" s="32" t="s">
        <v>487</v>
      </c>
      <c r="D42" s="32" t="s">
        <v>591</v>
      </c>
      <c r="E42" s="32">
        <v>3</v>
      </c>
    </row>
    <row r="43" spans="1:5" x14ac:dyDescent="0.25">
      <c r="A43" s="31" t="s">
        <v>344</v>
      </c>
      <c r="B43" s="32" t="s">
        <v>661</v>
      </c>
      <c r="C43" s="32">
        <v>206128</v>
      </c>
      <c r="D43" s="32" t="s">
        <v>591</v>
      </c>
      <c r="E43" s="32">
        <v>3</v>
      </c>
    </row>
    <row r="44" spans="1:5" x14ac:dyDescent="0.25">
      <c r="A44" s="31" t="s">
        <v>142</v>
      </c>
      <c r="B44" s="32">
        <v>8314008</v>
      </c>
      <c r="C44" s="32">
        <v>4008</v>
      </c>
      <c r="D44" s="32">
        <v>0</v>
      </c>
      <c r="E44" s="32">
        <v>0</v>
      </c>
    </row>
    <row r="45" spans="1:5" x14ac:dyDescent="0.25">
      <c r="A45" s="31" t="s">
        <v>106</v>
      </c>
      <c r="B45" s="32">
        <v>8312023</v>
      </c>
      <c r="C45" s="32">
        <v>2023</v>
      </c>
      <c r="D45" s="32" t="s">
        <v>629</v>
      </c>
      <c r="E45" s="32">
        <v>1</v>
      </c>
    </row>
    <row r="46" spans="1:5" x14ac:dyDescent="0.25">
      <c r="A46" s="31" t="s">
        <v>141</v>
      </c>
      <c r="B46" s="32">
        <v>8314007</v>
      </c>
      <c r="C46" s="32">
        <v>4007</v>
      </c>
      <c r="D46" s="32">
        <v>0</v>
      </c>
      <c r="E46" s="32">
        <v>0</v>
      </c>
    </row>
    <row r="47" spans="1:5" x14ac:dyDescent="0.25">
      <c r="A47" s="31" t="s">
        <v>66</v>
      </c>
      <c r="B47" s="32">
        <v>8312409</v>
      </c>
      <c r="C47" s="32">
        <v>2409</v>
      </c>
      <c r="D47" s="32" t="s">
        <v>606</v>
      </c>
      <c r="E47" s="32">
        <v>0</v>
      </c>
    </row>
    <row r="48" spans="1:5" x14ac:dyDescent="0.25">
      <c r="A48" s="31" t="s">
        <v>581</v>
      </c>
      <c r="B48" s="32"/>
      <c r="C48" s="32">
        <v>2682783</v>
      </c>
      <c r="D48" s="32" t="s">
        <v>591</v>
      </c>
      <c r="E48" s="32">
        <v>3</v>
      </c>
    </row>
    <row r="49" spans="1:5" x14ac:dyDescent="0.25">
      <c r="A49" s="31" t="s">
        <v>138</v>
      </c>
      <c r="B49" s="32">
        <v>8314004</v>
      </c>
      <c r="C49" s="32">
        <v>4004</v>
      </c>
      <c r="D49" s="32">
        <v>0</v>
      </c>
      <c r="E49" s="32">
        <v>0</v>
      </c>
    </row>
    <row r="50" spans="1:5" x14ac:dyDescent="0.25">
      <c r="A50" s="31" t="s">
        <v>360</v>
      </c>
      <c r="B50" s="32">
        <v>0</v>
      </c>
      <c r="C50" s="32" t="s">
        <v>359</v>
      </c>
      <c r="D50" s="32" t="s">
        <v>591</v>
      </c>
      <c r="E50" s="32">
        <v>3</v>
      </c>
    </row>
    <row r="51" spans="1:5" x14ac:dyDescent="0.25">
      <c r="A51" s="31" t="s">
        <v>345</v>
      </c>
      <c r="B51" s="32" t="s">
        <v>662</v>
      </c>
      <c r="C51" s="32">
        <v>205999</v>
      </c>
      <c r="D51" s="32" t="s">
        <v>591</v>
      </c>
      <c r="E51" s="32">
        <v>3</v>
      </c>
    </row>
    <row r="52" spans="1:5" x14ac:dyDescent="0.25">
      <c r="A52" s="31" t="s">
        <v>347</v>
      </c>
      <c r="B52" s="32">
        <v>0</v>
      </c>
      <c r="C52" s="32" t="s">
        <v>346</v>
      </c>
      <c r="D52" s="32" t="s">
        <v>591</v>
      </c>
      <c r="E52" s="32">
        <v>3</v>
      </c>
    </row>
    <row r="53" spans="1:5" x14ac:dyDescent="0.25">
      <c r="A53" s="31" t="s">
        <v>349</v>
      </c>
      <c r="B53" s="32" t="s">
        <v>663</v>
      </c>
      <c r="C53" s="32" t="s">
        <v>348</v>
      </c>
      <c r="D53" s="32" t="s">
        <v>591</v>
      </c>
      <c r="E53" s="32">
        <v>3</v>
      </c>
    </row>
    <row r="54" spans="1:5" x14ac:dyDescent="0.25">
      <c r="A54" s="31" t="s">
        <v>350</v>
      </c>
      <c r="B54" s="32" t="s">
        <v>664</v>
      </c>
      <c r="C54" s="32">
        <v>205921</v>
      </c>
      <c r="D54" s="32" t="s">
        <v>591</v>
      </c>
      <c r="E54" s="32">
        <v>3</v>
      </c>
    </row>
    <row r="55" spans="1:5" x14ac:dyDescent="0.25">
      <c r="A55" s="31" t="s">
        <v>351</v>
      </c>
      <c r="B55" s="32">
        <v>0</v>
      </c>
      <c r="C55" s="32">
        <v>206011</v>
      </c>
      <c r="D55" s="32" t="s">
        <v>591</v>
      </c>
      <c r="E55" s="32">
        <v>3</v>
      </c>
    </row>
    <row r="56" spans="1:5" x14ac:dyDescent="0.25">
      <c r="A56" s="31" t="s">
        <v>354</v>
      </c>
      <c r="B56" s="32" t="s">
        <v>665</v>
      </c>
      <c r="C56" s="32" t="s">
        <v>353</v>
      </c>
      <c r="D56" s="32" t="s">
        <v>591</v>
      </c>
      <c r="E56" s="32">
        <v>3</v>
      </c>
    </row>
    <row r="57" spans="1:5" x14ac:dyDescent="0.25">
      <c r="A57" s="31" t="s">
        <v>356</v>
      </c>
      <c r="B57" s="32" t="s">
        <v>666</v>
      </c>
      <c r="C57" s="32" t="s">
        <v>355</v>
      </c>
      <c r="D57" s="32" t="s">
        <v>591</v>
      </c>
      <c r="E57" s="32">
        <v>3</v>
      </c>
    </row>
    <row r="58" spans="1:5" x14ac:dyDescent="0.25">
      <c r="A58" s="31" t="s">
        <v>358</v>
      </c>
      <c r="B58" s="32">
        <v>0</v>
      </c>
      <c r="C58" s="32" t="s">
        <v>357</v>
      </c>
      <c r="D58" s="32" t="s">
        <v>591</v>
      </c>
      <c r="E58" s="32">
        <v>3</v>
      </c>
    </row>
    <row r="59" spans="1:5" x14ac:dyDescent="0.25">
      <c r="A59" s="31" t="s">
        <v>361</v>
      </c>
      <c r="B59" s="32">
        <v>0</v>
      </c>
      <c r="C59" s="32">
        <v>2549324</v>
      </c>
      <c r="D59" s="32" t="s">
        <v>591</v>
      </c>
      <c r="E59" s="32">
        <v>3</v>
      </c>
    </row>
    <row r="60" spans="1:5" x14ac:dyDescent="0.25">
      <c r="A60" s="31" t="s">
        <v>364</v>
      </c>
      <c r="B60" s="32">
        <v>0</v>
      </c>
      <c r="C60" s="32">
        <v>2519477</v>
      </c>
      <c r="D60" s="32" t="s">
        <v>591</v>
      </c>
      <c r="E60" s="32">
        <v>3</v>
      </c>
    </row>
    <row r="61" spans="1:5" x14ac:dyDescent="0.25">
      <c r="A61" s="31" t="s">
        <v>363</v>
      </c>
      <c r="B61" s="32"/>
      <c r="C61" s="32" t="s">
        <v>362</v>
      </c>
      <c r="D61" s="32" t="s">
        <v>591</v>
      </c>
      <c r="E61" s="32">
        <v>3</v>
      </c>
    </row>
    <row r="62" spans="1:5" x14ac:dyDescent="0.25">
      <c r="A62" s="31" t="s">
        <v>366</v>
      </c>
      <c r="B62" s="32">
        <v>0</v>
      </c>
      <c r="C62" s="32" t="s">
        <v>365</v>
      </c>
      <c r="D62" s="32" t="s">
        <v>591</v>
      </c>
      <c r="E62" s="32">
        <v>3</v>
      </c>
    </row>
    <row r="63" spans="1:5" x14ac:dyDescent="0.25">
      <c r="A63" s="31" t="s">
        <v>368</v>
      </c>
      <c r="B63" s="32" t="s">
        <v>667</v>
      </c>
      <c r="C63" s="32" t="s">
        <v>367</v>
      </c>
      <c r="D63" s="32" t="s">
        <v>591</v>
      </c>
      <c r="E63" s="32">
        <v>3</v>
      </c>
    </row>
    <row r="64" spans="1:5" x14ac:dyDescent="0.25">
      <c r="A64" s="31" t="s">
        <v>369</v>
      </c>
      <c r="B64" s="32" t="s">
        <v>668</v>
      </c>
      <c r="C64" s="32">
        <v>205852</v>
      </c>
      <c r="D64" s="32" t="s">
        <v>591</v>
      </c>
      <c r="E64" s="32">
        <v>3</v>
      </c>
    </row>
    <row r="65" spans="1:5" x14ac:dyDescent="0.25">
      <c r="A65" s="31" t="s">
        <v>370</v>
      </c>
      <c r="B65" s="32">
        <v>0</v>
      </c>
      <c r="C65" s="32">
        <v>205902</v>
      </c>
      <c r="D65" s="32" t="s">
        <v>591</v>
      </c>
      <c r="E65" s="32">
        <v>3</v>
      </c>
    </row>
    <row r="66" spans="1:5" x14ac:dyDescent="0.25">
      <c r="A66" s="31" t="s">
        <v>371</v>
      </c>
      <c r="B66" s="32">
        <v>0</v>
      </c>
      <c r="C66" s="32">
        <v>205922</v>
      </c>
      <c r="D66" s="32" t="s">
        <v>591</v>
      </c>
      <c r="E66" s="32">
        <v>3</v>
      </c>
    </row>
    <row r="67" spans="1:5" x14ac:dyDescent="0.25">
      <c r="A67" s="31" t="s">
        <v>373</v>
      </c>
      <c r="B67" s="32" t="s">
        <v>669</v>
      </c>
      <c r="C67" s="32" t="s">
        <v>372</v>
      </c>
      <c r="D67" s="32" t="s">
        <v>591</v>
      </c>
      <c r="E67" s="32">
        <v>3</v>
      </c>
    </row>
    <row r="68" spans="1:5" x14ac:dyDescent="0.25">
      <c r="A68" s="31" t="s">
        <v>375</v>
      </c>
      <c r="B68" s="32" t="s">
        <v>670</v>
      </c>
      <c r="C68" s="32" t="s">
        <v>374</v>
      </c>
      <c r="D68" s="32" t="s">
        <v>591</v>
      </c>
      <c r="E68" s="32">
        <v>3</v>
      </c>
    </row>
    <row r="69" spans="1:5" x14ac:dyDescent="0.25">
      <c r="A69" s="31" t="s">
        <v>376</v>
      </c>
      <c r="B69" s="32">
        <v>0</v>
      </c>
      <c r="C69" s="32">
        <v>205947</v>
      </c>
      <c r="D69" s="32" t="s">
        <v>591</v>
      </c>
      <c r="E69" s="32">
        <v>3</v>
      </c>
    </row>
    <row r="70" spans="1:5" x14ac:dyDescent="0.25">
      <c r="A70" s="31" t="s">
        <v>377</v>
      </c>
      <c r="B70" s="32" t="s">
        <v>671</v>
      </c>
      <c r="C70" s="32">
        <v>205919</v>
      </c>
      <c r="D70" s="32" t="s">
        <v>591</v>
      </c>
      <c r="E70" s="32">
        <v>3</v>
      </c>
    </row>
    <row r="71" spans="1:5" x14ac:dyDescent="0.25">
      <c r="A71" s="31" t="s">
        <v>379</v>
      </c>
      <c r="B71" s="32">
        <v>0</v>
      </c>
      <c r="C71" s="32" t="s">
        <v>378</v>
      </c>
      <c r="D71" s="32" t="s">
        <v>591</v>
      </c>
      <c r="E71" s="32">
        <v>3</v>
      </c>
    </row>
    <row r="72" spans="1:5" x14ac:dyDescent="0.25">
      <c r="A72" s="31" t="s">
        <v>383</v>
      </c>
      <c r="B72" s="32" t="s">
        <v>672</v>
      </c>
      <c r="C72" s="32" t="s">
        <v>382</v>
      </c>
      <c r="D72" s="32" t="s">
        <v>591</v>
      </c>
      <c r="E72" s="32">
        <v>3</v>
      </c>
    </row>
    <row r="73" spans="1:5" x14ac:dyDescent="0.25">
      <c r="A73" s="31" t="s">
        <v>381</v>
      </c>
      <c r="B73" s="32">
        <v>0</v>
      </c>
      <c r="C73" s="32" t="s">
        <v>380</v>
      </c>
      <c r="D73" s="32" t="s">
        <v>591</v>
      </c>
      <c r="E73" s="32">
        <v>3</v>
      </c>
    </row>
    <row r="74" spans="1:5" x14ac:dyDescent="0.25">
      <c r="A74" s="31" t="s">
        <v>384</v>
      </c>
      <c r="B74" s="32"/>
      <c r="C74" s="32">
        <v>205879</v>
      </c>
      <c r="D74" s="32" t="s">
        <v>591</v>
      </c>
      <c r="E74" s="32">
        <v>3</v>
      </c>
    </row>
    <row r="75" spans="1:5" x14ac:dyDescent="0.25">
      <c r="A75" s="31" t="s">
        <v>386</v>
      </c>
      <c r="B75" s="32">
        <v>0</v>
      </c>
      <c r="C75" s="32" t="s">
        <v>385</v>
      </c>
      <c r="D75" s="32" t="s">
        <v>591</v>
      </c>
      <c r="E75" s="32">
        <v>3</v>
      </c>
    </row>
    <row r="76" spans="1:5" x14ac:dyDescent="0.25">
      <c r="A76" s="31" t="s">
        <v>388</v>
      </c>
      <c r="B76" s="32" t="s">
        <v>673</v>
      </c>
      <c r="C76" s="32" t="s">
        <v>387</v>
      </c>
      <c r="D76" s="32" t="s">
        <v>591</v>
      </c>
      <c r="E76" s="32">
        <v>3</v>
      </c>
    </row>
    <row r="77" spans="1:5" x14ac:dyDescent="0.25">
      <c r="A77" s="31" t="s">
        <v>390</v>
      </c>
      <c r="B77" s="32" t="s">
        <v>674</v>
      </c>
      <c r="C77" s="32" t="s">
        <v>389</v>
      </c>
      <c r="D77" s="32" t="s">
        <v>591</v>
      </c>
      <c r="E77" s="32">
        <v>3</v>
      </c>
    </row>
    <row r="78" spans="1:5" x14ac:dyDescent="0.25">
      <c r="A78" s="31" t="s">
        <v>392</v>
      </c>
      <c r="B78" s="32"/>
      <c r="C78" s="32" t="s">
        <v>391</v>
      </c>
      <c r="D78" s="32" t="s">
        <v>591</v>
      </c>
      <c r="E78" s="32">
        <v>3</v>
      </c>
    </row>
    <row r="79" spans="1:5" x14ac:dyDescent="0.25">
      <c r="A79" s="31" t="s">
        <v>393</v>
      </c>
      <c r="B79" s="32"/>
      <c r="C79" s="32">
        <v>2617229</v>
      </c>
      <c r="D79" s="32" t="s">
        <v>591</v>
      </c>
      <c r="E79" s="32">
        <v>3</v>
      </c>
    </row>
    <row r="80" spans="1:5" x14ac:dyDescent="0.25">
      <c r="A80" s="31" t="s">
        <v>398</v>
      </c>
      <c r="B80" s="32">
        <v>0</v>
      </c>
      <c r="C80" s="32" t="s">
        <v>397</v>
      </c>
      <c r="D80" s="32" t="s">
        <v>591</v>
      </c>
      <c r="E80" s="32">
        <v>3</v>
      </c>
    </row>
    <row r="81" spans="1:5" x14ac:dyDescent="0.25">
      <c r="A81" s="31" t="s">
        <v>399</v>
      </c>
      <c r="B81" s="32">
        <v>0</v>
      </c>
      <c r="C81" s="32">
        <v>2562992</v>
      </c>
      <c r="D81" s="32" t="s">
        <v>591</v>
      </c>
      <c r="E81" s="32">
        <v>3</v>
      </c>
    </row>
    <row r="82" spans="1:5" x14ac:dyDescent="0.25">
      <c r="A82" s="31" t="s">
        <v>401</v>
      </c>
      <c r="B82" s="32">
        <v>0</v>
      </c>
      <c r="C82" s="32" t="s">
        <v>400</v>
      </c>
      <c r="D82" s="32" t="s">
        <v>591</v>
      </c>
      <c r="E82" s="32">
        <v>3</v>
      </c>
    </row>
    <row r="83" spans="1:5" x14ac:dyDescent="0.25">
      <c r="A83" s="31" t="s">
        <v>404</v>
      </c>
      <c r="B83" s="32" t="s">
        <v>675</v>
      </c>
      <c r="C83" s="32">
        <v>205881</v>
      </c>
      <c r="D83" s="32" t="s">
        <v>591</v>
      </c>
      <c r="E83" s="32">
        <v>3</v>
      </c>
    </row>
    <row r="84" spans="1:5" x14ac:dyDescent="0.25">
      <c r="A84" s="31" t="s">
        <v>406</v>
      </c>
      <c r="B84" s="32">
        <v>0</v>
      </c>
      <c r="C84" s="32" t="s">
        <v>405</v>
      </c>
      <c r="D84" s="32" t="s">
        <v>591</v>
      </c>
      <c r="E84" s="32">
        <v>3</v>
      </c>
    </row>
    <row r="85" spans="1:5" x14ac:dyDescent="0.25">
      <c r="A85" s="31" t="s">
        <v>408</v>
      </c>
      <c r="B85" s="32" t="s">
        <v>676</v>
      </c>
      <c r="C85" s="32" t="s">
        <v>407</v>
      </c>
      <c r="D85" s="32" t="s">
        <v>591</v>
      </c>
      <c r="E85" s="32">
        <v>3</v>
      </c>
    </row>
    <row r="86" spans="1:5" x14ac:dyDescent="0.25">
      <c r="A86" s="31" t="s">
        <v>410</v>
      </c>
      <c r="B86" s="32">
        <v>0</v>
      </c>
      <c r="C86" s="32" t="s">
        <v>409</v>
      </c>
      <c r="D86" s="32" t="s">
        <v>591</v>
      </c>
      <c r="E86" s="32">
        <v>3</v>
      </c>
    </row>
    <row r="87" spans="1:5" x14ac:dyDescent="0.25">
      <c r="A87" s="31" t="s">
        <v>411</v>
      </c>
      <c r="B87" s="32"/>
      <c r="C87" s="32">
        <v>2575281</v>
      </c>
      <c r="D87" s="32" t="s">
        <v>591</v>
      </c>
      <c r="E87" s="32">
        <v>3</v>
      </c>
    </row>
    <row r="88" spans="1:5" x14ac:dyDescent="0.25">
      <c r="A88" s="31" t="s">
        <v>413</v>
      </c>
      <c r="B88" s="32" t="s">
        <v>677</v>
      </c>
      <c r="C88" s="32" t="s">
        <v>412</v>
      </c>
      <c r="D88" s="32" t="s">
        <v>591</v>
      </c>
      <c r="E88" s="32">
        <v>3</v>
      </c>
    </row>
    <row r="89" spans="1:5" x14ac:dyDescent="0.25">
      <c r="A89" s="31" t="s">
        <v>414</v>
      </c>
      <c r="B89" s="32" t="s">
        <v>678</v>
      </c>
      <c r="C89" s="32">
        <v>306845</v>
      </c>
      <c r="D89" s="32" t="s">
        <v>591</v>
      </c>
      <c r="E89" s="32">
        <v>3</v>
      </c>
    </row>
    <row r="90" spans="1:5" x14ac:dyDescent="0.25">
      <c r="A90" s="31" t="s">
        <v>415</v>
      </c>
      <c r="B90" s="32"/>
      <c r="C90" s="32">
        <v>2518126</v>
      </c>
      <c r="D90" s="32" t="s">
        <v>591</v>
      </c>
      <c r="E90" s="32">
        <v>3</v>
      </c>
    </row>
    <row r="91" spans="1:5" x14ac:dyDescent="0.25">
      <c r="A91" s="31" t="s">
        <v>417</v>
      </c>
      <c r="B91" s="32"/>
      <c r="C91" s="32" t="s">
        <v>416</v>
      </c>
      <c r="D91" s="32" t="s">
        <v>591</v>
      </c>
      <c r="E91" s="32">
        <v>3</v>
      </c>
    </row>
    <row r="92" spans="1:5" x14ac:dyDescent="0.25">
      <c r="A92" s="31" t="s">
        <v>423</v>
      </c>
      <c r="B92" s="32" t="s">
        <v>679</v>
      </c>
      <c r="C92" s="32" t="s">
        <v>422</v>
      </c>
      <c r="D92" s="32" t="s">
        <v>591</v>
      </c>
      <c r="E92" s="32">
        <v>3</v>
      </c>
    </row>
    <row r="93" spans="1:5" x14ac:dyDescent="0.25">
      <c r="A93" s="31" t="s">
        <v>421</v>
      </c>
      <c r="B93" s="32">
        <v>0</v>
      </c>
      <c r="C93" s="32" t="s">
        <v>420</v>
      </c>
      <c r="D93" s="32" t="s">
        <v>591</v>
      </c>
      <c r="E93" s="32">
        <v>3</v>
      </c>
    </row>
    <row r="94" spans="1:5" x14ac:dyDescent="0.25">
      <c r="A94" s="31" t="s">
        <v>424</v>
      </c>
      <c r="B94" s="32" t="s">
        <v>680</v>
      </c>
      <c r="C94" s="32">
        <v>205878</v>
      </c>
      <c r="D94" s="32" t="s">
        <v>591</v>
      </c>
      <c r="E94" s="32">
        <v>3</v>
      </c>
    </row>
    <row r="95" spans="1:5" x14ac:dyDescent="0.25">
      <c r="A95" s="31" t="s">
        <v>426</v>
      </c>
      <c r="B95" s="32">
        <v>0</v>
      </c>
      <c r="C95" s="32" t="s">
        <v>425</v>
      </c>
      <c r="D95" s="32" t="s">
        <v>591</v>
      </c>
      <c r="E95" s="32">
        <v>3</v>
      </c>
    </row>
    <row r="96" spans="1:5" x14ac:dyDescent="0.25">
      <c r="A96" s="31" t="s">
        <v>430</v>
      </c>
      <c r="B96" s="32"/>
      <c r="C96" s="32">
        <v>2578607</v>
      </c>
      <c r="D96" s="32" t="s">
        <v>591</v>
      </c>
      <c r="E96" s="32">
        <v>3</v>
      </c>
    </row>
    <row r="97" spans="1:5" x14ac:dyDescent="0.25">
      <c r="A97" s="31" t="s">
        <v>428</v>
      </c>
      <c r="B97" s="32" t="s">
        <v>681</v>
      </c>
      <c r="C97" s="32" t="s">
        <v>427</v>
      </c>
      <c r="D97" s="32" t="s">
        <v>591</v>
      </c>
      <c r="E97" s="32">
        <v>3</v>
      </c>
    </row>
    <row r="98" spans="1:5" x14ac:dyDescent="0.25">
      <c r="A98" s="31" t="s">
        <v>432</v>
      </c>
      <c r="B98" s="32">
        <v>0</v>
      </c>
      <c r="C98" s="32" t="s">
        <v>431</v>
      </c>
      <c r="D98" s="32" t="s">
        <v>591</v>
      </c>
      <c r="E98" s="32">
        <v>3</v>
      </c>
    </row>
    <row r="99" spans="1:5" x14ac:dyDescent="0.25">
      <c r="A99" s="31" t="s">
        <v>434</v>
      </c>
      <c r="B99" s="32" t="s">
        <v>683</v>
      </c>
      <c r="C99" s="32" t="s">
        <v>433</v>
      </c>
      <c r="D99" s="32" t="s">
        <v>591</v>
      </c>
      <c r="E99" s="32">
        <v>3</v>
      </c>
    </row>
    <row r="100" spans="1:5" x14ac:dyDescent="0.25">
      <c r="A100" s="31" t="s">
        <v>436</v>
      </c>
      <c r="B100" s="32">
        <v>0</v>
      </c>
      <c r="C100" s="32" t="s">
        <v>435</v>
      </c>
      <c r="D100" s="32" t="s">
        <v>591</v>
      </c>
      <c r="E100" s="32">
        <v>3</v>
      </c>
    </row>
    <row r="101" spans="1:5" x14ac:dyDescent="0.25">
      <c r="A101" s="31" t="s">
        <v>438</v>
      </c>
      <c r="B101" s="32"/>
      <c r="C101" s="32" t="s">
        <v>437</v>
      </c>
      <c r="D101" s="32" t="s">
        <v>591</v>
      </c>
      <c r="E101" s="32">
        <v>3</v>
      </c>
    </row>
    <row r="102" spans="1:5" x14ac:dyDescent="0.25">
      <c r="A102" s="31" t="s">
        <v>440</v>
      </c>
      <c r="B102" s="32" t="s">
        <v>685</v>
      </c>
      <c r="C102" s="32" t="s">
        <v>439</v>
      </c>
      <c r="D102" s="32" t="s">
        <v>591</v>
      </c>
      <c r="E102" s="32">
        <v>3</v>
      </c>
    </row>
    <row r="103" spans="1:5" x14ac:dyDescent="0.25">
      <c r="A103" s="31" t="s">
        <v>442</v>
      </c>
      <c r="B103" s="32" t="s">
        <v>686</v>
      </c>
      <c r="C103" s="32" t="s">
        <v>441</v>
      </c>
      <c r="D103" s="32" t="s">
        <v>591</v>
      </c>
      <c r="E103" s="32">
        <v>3</v>
      </c>
    </row>
    <row r="104" spans="1:5" x14ac:dyDescent="0.25">
      <c r="A104" s="31" t="s">
        <v>444</v>
      </c>
      <c r="B104" s="32">
        <v>0</v>
      </c>
      <c r="C104" s="32" t="s">
        <v>443</v>
      </c>
      <c r="D104" s="32" t="s">
        <v>591</v>
      </c>
      <c r="E104" s="32">
        <v>3</v>
      </c>
    </row>
    <row r="105" spans="1:5" x14ac:dyDescent="0.25">
      <c r="A105" s="31" t="s">
        <v>446</v>
      </c>
      <c r="B105" s="32" t="s">
        <v>687</v>
      </c>
      <c r="C105" s="32" t="s">
        <v>445</v>
      </c>
      <c r="D105" s="32" t="s">
        <v>591</v>
      </c>
      <c r="E105" s="32">
        <v>3</v>
      </c>
    </row>
    <row r="106" spans="1:5" x14ac:dyDescent="0.25">
      <c r="A106" s="31" t="s">
        <v>448</v>
      </c>
      <c r="B106" s="32" t="s">
        <v>688</v>
      </c>
      <c r="C106" s="32" t="s">
        <v>447</v>
      </c>
      <c r="D106" s="32" t="s">
        <v>591</v>
      </c>
      <c r="E106" s="32">
        <v>3</v>
      </c>
    </row>
    <row r="107" spans="1:5" x14ac:dyDescent="0.25">
      <c r="A107" s="31" t="s">
        <v>449</v>
      </c>
      <c r="B107" s="32">
        <v>0</v>
      </c>
      <c r="C107" s="32">
        <v>206046</v>
      </c>
      <c r="D107" s="32" t="s">
        <v>591</v>
      </c>
      <c r="E107" s="32">
        <v>3</v>
      </c>
    </row>
    <row r="108" spans="1:5" x14ac:dyDescent="0.25">
      <c r="A108" s="31" t="s">
        <v>453</v>
      </c>
      <c r="B108" s="32" t="s">
        <v>689</v>
      </c>
      <c r="C108" s="32" t="s">
        <v>452</v>
      </c>
      <c r="D108" s="32" t="s">
        <v>591</v>
      </c>
      <c r="E108" s="32">
        <v>3</v>
      </c>
    </row>
    <row r="109" spans="1:5" x14ac:dyDescent="0.25">
      <c r="A109" s="31" t="s">
        <v>455</v>
      </c>
      <c r="B109" s="32" t="s">
        <v>690</v>
      </c>
      <c r="C109" s="32" t="s">
        <v>454</v>
      </c>
      <c r="D109" s="32" t="s">
        <v>591</v>
      </c>
      <c r="E109" s="32">
        <v>3</v>
      </c>
    </row>
    <row r="110" spans="1:5" x14ac:dyDescent="0.25">
      <c r="A110" s="31" t="s">
        <v>456</v>
      </c>
      <c r="B110" s="32" t="s">
        <v>691</v>
      </c>
      <c r="C110" s="32">
        <v>260848</v>
      </c>
      <c r="D110" s="32" t="s">
        <v>591</v>
      </c>
      <c r="E110" s="32">
        <v>3</v>
      </c>
    </row>
    <row r="111" spans="1:5" x14ac:dyDescent="0.25">
      <c r="A111" s="31" t="s">
        <v>457</v>
      </c>
      <c r="B111" s="32" t="s">
        <v>692</v>
      </c>
      <c r="C111" s="32">
        <v>205978</v>
      </c>
      <c r="D111" s="32" t="s">
        <v>651</v>
      </c>
      <c r="E111" s="32">
        <v>4</v>
      </c>
    </row>
    <row r="112" spans="1:5" x14ac:dyDescent="0.25">
      <c r="A112" s="31" t="s">
        <v>458</v>
      </c>
      <c r="B112" s="32" t="s">
        <v>693</v>
      </c>
      <c r="C112" s="32">
        <v>2563900</v>
      </c>
      <c r="D112" s="32" t="s">
        <v>591</v>
      </c>
      <c r="E112" s="32">
        <v>3</v>
      </c>
    </row>
    <row r="113" spans="1:5" x14ac:dyDescent="0.25">
      <c r="A113" s="31" t="s">
        <v>461</v>
      </c>
      <c r="B113" s="32" t="s">
        <v>694</v>
      </c>
      <c r="C113" s="32">
        <v>206043</v>
      </c>
      <c r="D113" s="32" t="s">
        <v>591</v>
      </c>
      <c r="E113" s="32">
        <v>3</v>
      </c>
    </row>
    <row r="114" spans="1:5" x14ac:dyDescent="0.25">
      <c r="A114" s="31" t="s">
        <v>460</v>
      </c>
      <c r="B114" s="32">
        <v>0</v>
      </c>
      <c r="C114" s="32" t="s">
        <v>459</v>
      </c>
      <c r="D114" s="32" t="s">
        <v>591</v>
      </c>
      <c r="E114" s="32">
        <v>3</v>
      </c>
    </row>
    <row r="115" spans="1:5" x14ac:dyDescent="0.25">
      <c r="A115" s="31" t="s">
        <v>463</v>
      </c>
      <c r="B115" s="32">
        <v>0</v>
      </c>
      <c r="C115" s="32" t="s">
        <v>462</v>
      </c>
      <c r="D115" s="32" t="s">
        <v>591</v>
      </c>
      <c r="E115" s="32">
        <v>3</v>
      </c>
    </row>
    <row r="116" spans="1:5" x14ac:dyDescent="0.25">
      <c r="A116" s="31" t="s">
        <v>464</v>
      </c>
      <c r="B116" s="32" t="s">
        <v>695</v>
      </c>
      <c r="C116" s="32">
        <v>505502</v>
      </c>
      <c r="D116" s="32" t="s">
        <v>591</v>
      </c>
      <c r="E116" s="32">
        <v>3</v>
      </c>
    </row>
    <row r="117" spans="1:5" x14ac:dyDescent="0.25">
      <c r="A117" s="31" t="s">
        <v>466</v>
      </c>
      <c r="B117" s="32" t="s">
        <v>696</v>
      </c>
      <c r="C117" s="32" t="s">
        <v>465</v>
      </c>
      <c r="D117" s="32" t="s">
        <v>591</v>
      </c>
      <c r="E117" s="32">
        <v>3</v>
      </c>
    </row>
    <row r="118" spans="1:5" x14ac:dyDescent="0.25">
      <c r="A118" s="31" t="s">
        <v>468</v>
      </c>
      <c r="B118" s="32" t="s">
        <v>697</v>
      </c>
      <c r="C118" s="32" t="s">
        <v>467</v>
      </c>
      <c r="D118" s="32" t="s">
        <v>591</v>
      </c>
      <c r="E118" s="32">
        <v>3</v>
      </c>
    </row>
    <row r="119" spans="1:5" x14ac:dyDescent="0.25">
      <c r="A119" s="31" t="s">
        <v>470</v>
      </c>
      <c r="B119" s="32" t="s">
        <v>698</v>
      </c>
      <c r="C119" s="32" t="s">
        <v>469</v>
      </c>
      <c r="D119" s="32" t="s">
        <v>591</v>
      </c>
      <c r="E119" s="32">
        <v>3</v>
      </c>
    </row>
    <row r="120" spans="1:5" x14ac:dyDescent="0.25">
      <c r="A120" s="31" t="s">
        <v>472</v>
      </c>
      <c r="B120" s="32">
        <v>0</v>
      </c>
      <c r="C120" s="32" t="s">
        <v>471</v>
      </c>
      <c r="D120" s="32" t="s">
        <v>591</v>
      </c>
      <c r="E120" s="32">
        <v>3</v>
      </c>
    </row>
    <row r="121" spans="1:5" x14ac:dyDescent="0.25">
      <c r="A121" s="31" t="s">
        <v>474</v>
      </c>
      <c r="B121" s="32" t="s">
        <v>699</v>
      </c>
      <c r="C121" s="32" t="s">
        <v>473</v>
      </c>
      <c r="D121" s="32" t="s">
        <v>591</v>
      </c>
      <c r="E121" s="32">
        <v>3</v>
      </c>
    </row>
    <row r="122" spans="1:5" x14ac:dyDescent="0.25">
      <c r="A122" s="31" t="s">
        <v>476</v>
      </c>
      <c r="B122" s="32" t="s">
        <v>700</v>
      </c>
      <c r="C122" s="32" t="s">
        <v>475</v>
      </c>
      <c r="D122" s="32" t="s">
        <v>591</v>
      </c>
      <c r="E122" s="32">
        <v>3</v>
      </c>
    </row>
    <row r="123" spans="1:5" x14ac:dyDescent="0.25">
      <c r="A123" s="31" t="s">
        <v>478</v>
      </c>
      <c r="B123" s="32" t="s">
        <v>701</v>
      </c>
      <c r="C123" s="32" t="s">
        <v>477</v>
      </c>
      <c r="D123" s="32" t="s">
        <v>591</v>
      </c>
      <c r="E123" s="32">
        <v>3</v>
      </c>
    </row>
    <row r="124" spans="1:5" x14ac:dyDescent="0.25">
      <c r="A124" s="31" t="s">
        <v>480</v>
      </c>
      <c r="B124" s="32" t="s">
        <v>702</v>
      </c>
      <c r="C124" s="32" t="s">
        <v>479</v>
      </c>
      <c r="D124" s="32" t="s">
        <v>591</v>
      </c>
      <c r="E124" s="32">
        <v>3</v>
      </c>
    </row>
    <row r="125" spans="1:5" x14ac:dyDescent="0.25">
      <c r="A125" s="31" t="s">
        <v>482</v>
      </c>
      <c r="B125" s="32" t="s">
        <v>703</v>
      </c>
      <c r="C125" s="32" t="s">
        <v>481</v>
      </c>
      <c r="D125" s="32" t="s">
        <v>591</v>
      </c>
      <c r="E125" s="32">
        <v>3</v>
      </c>
    </row>
    <row r="126" spans="1:5" x14ac:dyDescent="0.25">
      <c r="A126" s="31" t="s">
        <v>484</v>
      </c>
      <c r="B126" s="32" t="s">
        <v>704</v>
      </c>
      <c r="C126" s="32" t="s">
        <v>483</v>
      </c>
      <c r="D126" s="32" t="s">
        <v>591</v>
      </c>
      <c r="E126" s="32">
        <v>3</v>
      </c>
    </row>
    <row r="127" spans="1:5" x14ac:dyDescent="0.25">
      <c r="A127" s="31" t="s">
        <v>146</v>
      </c>
      <c r="B127" s="32">
        <v>8314178</v>
      </c>
      <c r="C127" s="32">
        <v>4178</v>
      </c>
      <c r="D127" s="32">
        <v>0</v>
      </c>
      <c r="E127" s="32">
        <v>0</v>
      </c>
    </row>
    <row r="128" spans="1:5" x14ac:dyDescent="0.25">
      <c r="A128" s="31" t="s">
        <v>125</v>
      </c>
      <c r="B128" s="32">
        <v>8313158</v>
      </c>
      <c r="C128" s="32">
        <v>3158</v>
      </c>
      <c r="D128" s="32" t="s">
        <v>629</v>
      </c>
      <c r="E128" s="32">
        <v>1</v>
      </c>
    </row>
    <row r="129" spans="1:5" x14ac:dyDescent="0.25">
      <c r="A129" s="31" t="s">
        <v>99</v>
      </c>
      <c r="B129" s="32">
        <v>8312016</v>
      </c>
      <c r="C129" s="32">
        <v>2016</v>
      </c>
      <c r="D129" s="32" t="s">
        <v>629</v>
      </c>
      <c r="E129" s="32">
        <v>1</v>
      </c>
    </row>
    <row r="130" spans="1:5" x14ac:dyDescent="0.25">
      <c r="A130" s="31" t="s">
        <v>486</v>
      </c>
      <c r="B130" s="32" t="s">
        <v>705</v>
      </c>
      <c r="C130" s="32" t="s">
        <v>485</v>
      </c>
      <c r="D130" s="32" t="s">
        <v>591</v>
      </c>
      <c r="E130" s="32">
        <v>3</v>
      </c>
    </row>
    <row r="131" spans="1:5" x14ac:dyDescent="0.25">
      <c r="A131" s="31" t="s">
        <v>490</v>
      </c>
      <c r="B131" s="32" t="s">
        <v>707</v>
      </c>
      <c r="C131" s="32" t="s">
        <v>489</v>
      </c>
      <c r="D131" s="32" t="s">
        <v>591</v>
      </c>
      <c r="E131" s="32">
        <v>3</v>
      </c>
    </row>
    <row r="132" spans="1:5" x14ac:dyDescent="0.25">
      <c r="A132" s="31" t="s">
        <v>492</v>
      </c>
      <c r="B132" s="32" t="s">
        <v>708</v>
      </c>
      <c r="C132" s="32" t="s">
        <v>491</v>
      </c>
      <c r="D132" s="32" t="s">
        <v>591</v>
      </c>
      <c r="E132" s="32">
        <v>3</v>
      </c>
    </row>
    <row r="133" spans="1:5" x14ac:dyDescent="0.25">
      <c r="A133" s="31" t="s">
        <v>494</v>
      </c>
      <c r="B133" s="32" t="s">
        <v>709</v>
      </c>
      <c r="C133" s="32" t="s">
        <v>493</v>
      </c>
      <c r="D133" s="32" t="s">
        <v>591</v>
      </c>
      <c r="E133" s="32">
        <v>3</v>
      </c>
    </row>
    <row r="134" spans="1:5" x14ac:dyDescent="0.25">
      <c r="A134" s="31" t="s">
        <v>97</v>
      </c>
      <c r="B134" s="32">
        <v>8312013</v>
      </c>
      <c r="C134" s="32">
        <v>2013</v>
      </c>
      <c r="D134" s="32" t="s">
        <v>629</v>
      </c>
      <c r="E134" s="32">
        <v>1</v>
      </c>
    </row>
    <row r="135" spans="1:5" x14ac:dyDescent="0.25">
      <c r="A135" s="31" t="s">
        <v>495</v>
      </c>
      <c r="B135" s="32" t="s">
        <v>710</v>
      </c>
      <c r="C135" s="32">
        <v>206106</v>
      </c>
      <c r="D135" s="32" t="s">
        <v>591</v>
      </c>
      <c r="E135" s="32">
        <v>3</v>
      </c>
    </row>
    <row r="136" spans="1:5" x14ac:dyDescent="0.25">
      <c r="A136" s="31" t="s">
        <v>497</v>
      </c>
      <c r="B136" s="32" t="s">
        <v>711</v>
      </c>
      <c r="C136" s="32" t="s">
        <v>496</v>
      </c>
      <c r="D136" s="32" t="s">
        <v>591</v>
      </c>
      <c r="E136" s="32">
        <v>3</v>
      </c>
    </row>
    <row r="137" spans="1:5" x14ac:dyDescent="0.25">
      <c r="A137" s="31" t="s">
        <v>499</v>
      </c>
      <c r="B137" s="32" t="s">
        <v>712</v>
      </c>
      <c r="C137" s="32" t="s">
        <v>498</v>
      </c>
      <c r="D137" s="32" t="s">
        <v>591</v>
      </c>
      <c r="E137" s="32">
        <v>3</v>
      </c>
    </row>
    <row r="138" spans="1:5" x14ac:dyDescent="0.25">
      <c r="A138" s="31" t="s">
        <v>75</v>
      </c>
      <c r="B138" s="32">
        <v>8312457</v>
      </c>
      <c r="C138" s="32">
        <v>2457</v>
      </c>
      <c r="D138" s="32" t="s">
        <v>606</v>
      </c>
      <c r="E138" s="32">
        <v>0</v>
      </c>
    </row>
    <row r="139" spans="1:5" x14ac:dyDescent="0.25">
      <c r="A139" s="31" t="s">
        <v>94</v>
      </c>
      <c r="B139" s="32">
        <v>8312010</v>
      </c>
      <c r="C139" s="32">
        <v>2010</v>
      </c>
      <c r="D139" s="32" t="s">
        <v>629</v>
      </c>
      <c r="E139" s="32">
        <v>1</v>
      </c>
    </row>
    <row r="140" spans="1:5" x14ac:dyDescent="0.25">
      <c r="A140" s="31" t="s">
        <v>88</v>
      </c>
      <c r="B140" s="32">
        <v>8312002</v>
      </c>
      <c r="C140" s="32">
        <v>2002</v>
      </c>
      <c r="D140" s="32" t="s">
        <v>629</v>
      </c>
      <c r="E140" s="32">
        <v>1</v>
      </c>
    </row>
    <row r="141" spans="1:5" x14ac:dyDescent="0.25">
      <c r="A141" s="31" t="s">
        <v>107</v>
      </c>
      <c r="B141" s="32">
        <v>8312024</v>
      </c>
      <c r="C141" s="32">
        <v>2024</v>
      </c>
      <c r="D141" s="32" t="s">
        <v>629</v>
      </c>
      <c r="E141" s="32">
        <v>1</v>
      </c>
    </row>
    <row r="142" spans="1:5" x14ac:dyDescent="0.25">
      <c r="A142" s="31" t="s">
        <v>133</v>
      </c>
      <c r="B142" s="32">
        <v>8313544</v>
      </c>
      <c r="C142" s="32">
        <v>3544</v>
      </c>
      <c r="D142" s="32" t="s">
        <v>629</v>
      </c>
      <c r="E142" s="32">
        <v>1</v>
      </c>
    </row>
    <row r="143" spans="1:5" x14ac:dyDescent="0.25">
      <c r="A143" s="31" t="s">
        <v>326</v>
      </c>
      <c r="B143" s="32" t="s">
        <v>613</v>
      </c>
      <c r="C143" s="32">
        <v>1008</v>
      </c>
      <c r="D143" s="32" t="s">
        <v>592</v>
      </c>
      <c r="E143" s="32">
        <v>2</v>
      </c>
    </row>
    <row r="144" spans="1:5" x14ac:dyDescent="0.25">
      <c r="A144" s="31" t="s">
        <v>501</v>
      </c>
      <c r="B144" s="32" t="s">
        <v>659</v>
      </c>
      <c r="C144" s="32" t="s">
        <v>500</v>
      </c>
      <c r="D144" s="32" t="s">
        <v>591</v>
      </c>
      <c r="E144" s="32">
        <v>3</v>
      </c>
    </row>
    <row r="145" spans="1:5" x14ac:dyDescent="0.25">
      <c r="A145" s="31" t="s">
        <v>90</v>
      </c>
      <c r="B145" s="32">
        <v>8312006</v>
      </c>
      <c r="C145" s="32">
        <v>2006</v>
      </c>
      <c r="D145" s="32" t="s">
        <v>629</v>
      </c>
      <c r="E145" s="32">
        <v>1</v>
      </c>
    </row>
    <row r="146" spans="1:5" x14ac:dyDescent="0.25">
      <c r="A146" s="31" t="s">
        <v>578</v>
      </c>
      <c r="B146" s="32"/>
      <c r="C146" s="32" t="s">
        <v>577</v>
      </c>
      <c r="D146" s="32" t="s">
        <v>591</v>
      </c>
      <c r="E146" s="32">
        <v>3</v>
      </c>
    </row>
    <row r="147" spans="1:5" x14ac:dyDescent="0.25">
      <c r="A147" s="31" t="s">
        <v>503</v>
      </c>
      <c r="B147" s="32" t="s">
        <v>713</v>
      </c>
      <c r="C147" s="32" t="s">
        <v>502</v>
      </c>
      <c r="D147" s="32" t="s">
        <v>591</v>
      </c>
      <c r="E147" s="32">
        <v>3</v>
      </c>
    </row>
    <row r="148" spans="1:5" x14ac:dyDescent="0.25">
      <c r="A148" s="31" t="s">
        <v>504</v>
      </c>
      <c r="B148" s="32" t="s">
        <v>714</v>
      </c>
      <c r="C148" s="32">
        <v>206134</v>
      </c>
      <c r="D148" s="32" t="s">
        <v>591</v>
      </c>
      <c r="E148" s="32">
        <v>3</v>
      </c>
    </row>
    <row r="149" spans="1:5" x14ac:dyDescent="0.25">
      <c r="A149" s="31" t="s">
        <v>506</v>
      </c>
      <c r="B149" s="32" t="s">
        <v>715</v>
      </c>
      <c r="C149" s="32" t="s">
        <v>505</v>
      </c>
      <c r="D149" s="32" t="s">
        <v>591</v>
      </c>
      <c r="E149" s="32">
        <v>3</v>
      </c>
    </row>
    <row r="150" spans="1:5" x14ac:dyDescent="0.25">
      <c r="A150" s="31" t="s">
        <v>507</v>
      </c>
      <c r="B150" s="32" t="s">
        <v>716</v>
      </c>
      <c r="C150" s="32">
        <v>206109</v>
      </c>
      <c r="D150" s="32" t="s">
        <v>591</v>
      </c>
      <c r="E150" s="32">
        <v>3</v>
      </c>
    </row>
    <row r="151" spans="1:5" x14ac:dyDescent="0.25">
      <c r="A151" s="31" t="s">
        <v>105</v>
      </c>
      <c r="B151" s="32">
        <v>8312022</v>
      </c>
      <c r="C151" s="32">
        <v>2022</v>
      </c>
      <c r="D151" s="32" t="s">
        <v>629</v>
      </c>
      <c r="E151" s="32">
        <v>1</v>
      </c>
    </row>
    <row r="152" spans="1:5" x14ac:dyDescent="0.25">
      <c r="A152" s="31" t="s">
        <v>93</v>
      </c>
      <c r="B152" s="32">
        <v>8312009</v>
      </c>
      <c r="C152" s="32">
        <v>2009</v>
      </c>
      <c r="D152" s="32">
        <v>0</v>
      </c>
      <c r="E152" s="32">
        <v>0</v>
      </c>
    </row>
    <row r="153" spans="1:5" x14ac:dyDescent="0.25">
      <c r="A153" s="31" t="s">
        <v>150</v>
      </c>
      <c r="B153" s="32">
        <v>8316905</v>
      </c>
      <c r="C153" s="32">
        <v>6905</v>
      </c>
      <c r="D153" s="32">
        <v>0</v>
      </c>
      <c r="E153" s="32">
        <v>0</v>
      </c>
    </row>
    <row r="154" spans="1:5" x14ac:dyDescent="0.25">
      <c r="A154" s="31" t="s">
        <v>123</v>
      </c>
      <c r="B154" s="32">
        <v>8312522</v>
      </c>
      <c r="C154" s="32">
        <v>2522</v>
      </c>
      <c r="D154" s="32">
        <v>0</v>
      </c>
      <c r="E154" s="32">
        <v>0</v>
      </c>
    </row>
    <row r="155" spans="1:5" x14ac:dyDescent="0.25">
      <c r="A155" s="31" t="s">
        <v>508</v>
      </c>
      <c r="B155" s="32" t="s">
        <v>717</v>
      </c>
      <c r="C155" s="32">
        <v>206110</v>
      </c>
      <c r="D155" s="32" t="s">
        <v>591</v>
      </c>
      <c r="E155" s="32">
        <v>3</v>
      </c>
    </row>
    <row r="156" spans="1:5" x14ac:dyDescent="0.25">
      <c r="A156" s="31" t="s">
        <v>140</v>
      </c>
      <c r="B156" s="32">
        <v>8314006</v>
      </c>
      <c r="C156" s="32">
        <v>4006</v>
      </c>
      <c r="D156" s="32">
        <v>0</v>
      </c>
      <c r="E156" s="32">
        <v>0</v>
      </c>
    </row>
    <row r="157" spans="1:5" x14ac:dyDescent="0.25">
      <c r="A157" s="31" t="s">
        <v>517</v>
      </c>
      <c r="B157" s="32" t="s">
        <v>722</v>
      </c>
      <c r="C157" s="32" t="s">
        <v>516</v>
      </c>
      <c r="D157" s="32" t="s">
        <v>651</v>
      </c>
      <c r="E157" s="32">
        <v>4</v>
      </c>
    </row>
    <row r="158" spans="1:5" x14ac:dyDescent="0.25">
      <c r="A158" s="31" t="s">
        <v>510</v>
      </c>
      <c r="B158" s="32" t="s">
        <v>718</v>
      </c>
      <c r="C158" s="32" t="s">
        <v>509</v>
      </c>
      <c r="D158" s="32" t="s">
        <v>591</v>
      </c>
      <c r="E158" s="32">
        <v>3</v>
      </c>
    </row>
    <row r="159" spans="1:5" x14ac:dyDescent="0.25">
      <c r="A159" s="31" t="s">
        <v>512</v>
      </c>
      <c r="B159" s="32" t="s">
        <v>719</v>
      </c>
      <c r="C159" s="32" t="s">
        <v>511</v>
      </c>
      <c r="D159" s="32" t="s">
        <v>591</v>
      </c>
      <c r="E159" s="32">
        <v>3</v>
      </c>
    </row>
    <row r="160" spans="1:5" x14ac:dyDescent="0.25">
      <c r="A160" s="31" t="s">
        <v>514</v>
      </c>
      <c r="B160" s="32" t="s">
        <v>720</v>
      </c>
      <c r="C160" s="32" t="s">
        <v>513</v>
      </c>
      <c r="D160" s="32" t="s">
        <v>651</v>
      </c>
      <c r="E160" s="32">
        <v>4</v>
      </c>
    </row>
    <row r="161" spans="1:5" x14ac:dyDescent="0.25">
      <c r="A161" s="31" t="s">
        <v>515</v>
      </c>
      <c r="B161" s="32" t="s">
        <v>721</v>
      </c>
      <c r="C161" s="32">
        <v>509197</v>
      </c>
      <c r="D161" s="32" t="s">
        <v>591</v>
      </c>
      <c r="E161" s="32">
        <v>3</v>
      </c>
    </row>
    <row r="162" spans="1:5" x14ac:dyDescent="0.25">
      <c r="A162" s="31" t="s">
        <v>85</v>
      </c>
      <c r="B162" s="32">
        <v>8314182</v>
      </c>
      <c r="C162" s="32">
        <v>4182</v>
      </c>
      <c r="D162" s="32" t="s">
        <v>606</v>
      </c>
      <c r="E162" s="32">
        <v>0</v>
      </c>
    </row>
    <row r="163" spans="1:5" x14ac:dyDescent="0.25">
      <c r="A163" s="31" t="s">
        <v>327</v>
      </c>
      <c r="B163" s="32" t="s">
        <v>614</v>
      </c>
      <c r="C163" s="32">
        <v>1005</v>
      </c>
      <c r="D163" s="32" t="s">
        <v>592</v>
      </c>
      <c r="E163" s="32">
        <v>2</v>
      </c>
    </row>
    <row r="164" spans="1:5" x14ac:dyDescent="0.25">
      <c r="A164" s="31" t="s">
        <v>519</v>
      </c>
      <c r="B164" s="32" t="s">
        <v>723</v>
      </c>
      <c r="C164" s="32" t="s">
        <v>518</v>
      </c>
      <c r="D164" s="32" t="s">
        <v>651</v>
      </c>
      <c r="E164" s="32">
        <v>4</v>
      </c>
    </row>
    <row r="165" spans="1:5" x14ac:dyDescent="0.25">
      <c r="A165" s="31" t="s">
        <v>69</v>
      </c>
      <c r="B165" s="32">
        <v>8312436</v>
      </c>
      <c r="C165" s="32">
        <v>2436</v>
      </c>
      <c r="D165" s="32">
        <v>0</v>
      </c>
      <c r="E165" s="32">
        <v>0</v>
      </c>
    </row>
    <row r="166" spans="1:5" x14ac:dyDescent="0.25">
      <c r="A166" s="31" t="s">
        <v>520</v>
      </c>
      <c r="B166" s="32" t="s">
        <v>724</v>
      </c>
      <c r="C166" s="32">
        <v>206117</v>
      </c>
      <c r="D166" s="32" t="s">
        <v>651</v>
      </c>
      <c r="E166" s="32">
        <v>4</v>
      </c>
    </row>
    <row r="167" spans="1:5" x14ac:dyDescent="0.25">
      <c r="A167" s="31" t="s">
        <v>74</v>
      </c>
      <c r="B167" s="32" t="s">
        <v>615</v>
      </c>
      <c r="C167" s="32">
        <v>2452</v>
      </c>
      <c r="D167" s="32" t="s">
        <v>606</v>
      </c>
      <c r="E167" s="32">
        <v>1</v>
      </c>
    </row>
    <row r="168" spans="1:5" x14ac:dyDescent="0.25">
      <c r="A168" s="31" t="s">
        <v>521</v>
      </c>
      <c r="B168" s="32" t="s">
        <v>725</v>
      </c>
      <c r="C168" s="32">
        <v>206141</v>
      </c>
      <c r="D168" s="32" t="s">
        <v>591</v>
      </c>
      <c r="E168" s="32">
        <v>3</v>
      </c>
    </row>
    <row r="169" spans="1:5" x14ac:dyDescent="0.25">
      <c r="A169" s="31" t="s">
        <v>82</v>
      </c>
      <c r="B169" s="32">
        <v>8312627</v>
      </c>
      <c r="C169" s="32">
        <v>2627</v>
      </c>
      <c r="D169" s="32" t="s">
        <v>606</v>
      </c>
      <c r="E169" s="32">
        <v>0</v>
      </c>
    </row>
    <row r="170" spans="1:5" x14ac:dyDescent="0.25">
      <c r="A170" s="31" t="s">
        <v>86</v>
      </c>
      <c r="B170" s="32">
        <v>8315406</v>
      </c>
      <c r="C170" s="32">
        <v>5406</v>
      </c>
      <c r="D170" s="32" t="s">
        <v>606</v>
      </c>
      <c r="E170" s="32">
        <v>0</v>
      </c>
    </row>
    <row r="171" spans="1:5" x14ac:dyDescent="0.25">
      <c r="A171" s="31" t="s">
        <v>139</v>
      </c>
      <c r="B171" s="32">
        <v>8314005</v>
      </c>
      <c r="C171" s="32">
        <v>4005</v>
      </c>
      <c r="D171" s="32">
        <v>0</v>
      </c>
      <c r="E171" s="32">
        <v>0</v>
      </c>
    </row>
    <row r="172" spans="1:5" x14ac:dyDescent="0.25">
      <c r="A172" s="31" t="s">
        <v>152</v>
      </c>
      <c r="B172" s="32"/>
      <c r="C172" s="32" t="s">
        <v>767</v>
      </c>
      <c r="D172" s="32" t="s">
        <v>629</v>
      </c>
      <c r="E172" s="32">
        <v>1</v>
      </c>
    </row>
    <row r="173" spans="1:5" x14ac:dyDescent="0.25">
      <c r="A173" s="31" t="s">
        <v>523</v>
      </c>
      <c r="B173" s="32" t="s">
        <v>726</v>
      </c>
      <c r="C173" s="32" t="s">
        <v>522</v>
      </c>
      <c r="D173" s="32" t="s">
        <v>651</v>
      </c>
      <c r="E173" s="32">
        <v>4</v>
      </c>
    </row>
    <row r="174" spans="1:5" x14ac:dyDescent="0.25">
      <c r="A174" s="31" t="s">
        <v>80</v>
      </c>
      <c r="B174" s="32">
        <v>8312473</v>
      </c>
      <c r="C174" s="32">
        <v>2473</v>
      </c>
      <c r="D174" s="32" t="s">
        <v>606</v>
      </c>
      <c r="E174" s="32">
        <v>1</v>
      </c>
    </row>
    <row r="175" spans="1:5" x14ac:dyDescent="0.25">
      <c r="A175" s="31" t="s">
        <v>120</v>
      </c>
      <c r="B175" s="32">
        <v>8312471</v>
      </c>
      <c r="C175" s="32">
        <v>2471</v>
      </c>
      <c r="D175" s="32">
        <v>0</v>
      </c>
      <c r="E175" s="32">
        <v>0</v>
      </c>
    </row>
    <row r="176" spans="1:5" x14ac:dyDescent="0.25">
      <c r="A176" s="31" t="s">
        <v>527</v>
      </c>
      <c r="B176" s="32" t="s">
        <v>727</v>
      </c>
      <c r="C176" s="32">
        <v>258406</v>
      </c>
      <c r="D176" s="32" t="s">
        <v>651</v>
      </c>
      <c r="E176" s="32">
        <v>4</v>
      </c>
    </row>
    <row r="177" spans="1:5" x14ac:dyDescent="0.25">
      <c r="A177" s="31" t="s">
        <v>526</v>
      </c>
      <c r="B177" s="32" t="s">
        <v>768</v>
      </c>
      <c r="C177" s="32">
        <v>258408</v>
      </c>
      <c r="D177" s="32" t="s">
        <v>651</v>
      </c>
      <c r="E177" s="32">
        <v>4</v>
      </c>
    </row>
    <row r="178" spans="1:5" x14ac:dyDescent="0.25">
      <c r="A178" s="31" t="s">
        <v>63</v>
      </c>
      <c r="B178" s="32">
        <v>8312003</v>
      </c>
      <c r="C178" s="32">
        <v>2003</v>
      </c>
      <c r="D178" s="32" t="s">
        <v>606</v>
      </c>
      <c r="E178" s="32">
        <v>1</v>
      </c>
    </row>
    <row r="179" spans="1:5" x14ac:dyDescent="0.25">
      <c r="A179" s="31" t="s">
        <v>100</v>
      </c>
      <c r="B179" s="32">
        <v>8312017</v>
      </c>
      <c r="C179" s="32">
        <v>2017</v>
      </c>
      <c r="D179" s="32">
        <v>0</v>
      </c>
      <c r="E179" s="32">
        <v>0</v>
      </c>
    </row>
    <row r="180" spans="1:5" x14ac:dyDescent="0.25">
      <c r="A180" s="31" t="s">
        <v>67</v>
      </c>
      <c r="B180" s="32">
        <v>8312424</v>
      </c>
      <c r="C180" s="32">
        <v>2424</v>
      </c>
      <c r="D180" s="32" t="s">
        <v>606</v>
      </c>
      <c r="E180" s="32">
        <v>0</v>
      </c>
    </row>
    <row r="181" spans="1:5" x14ac:dyDescent="0.25">
      <c r="A181" s="31" t="s">
        <v>530</v>
      </c>
      <c r="B181" s="32" t="s">
        <v>728</v>
      </c>
      <c r="C181" s="32" t="s">
        <v>529</v>
      </c>
      <c r="D181" s="32" t="s">
        <v>651</v>
      </c>
      <c r="E181" s="32">
        <v>4</v>
      </c>
    </row>
    <row r="182" spans="1:5" x14ac:dyDescent="0.25">
      <c r="A182" s="31" t="s">
        <v>531</v>
      </c>
      <c r="B182" s="32" t="s">
        <v>729</v>
      </c>
      <c r="C182" s="32">
        <v>206146</v>
      </c>
      <c r="D182" s="32" t="s">
        <v>651</v>
      </c>
      <c r="E182" s="32">
        <v>4</v>
      </c>
    </row>
    <row r="183" spans="1:5" x14ac:dyDescent="0.25">
      <c r="A183" s="31" t="s">
        <v>70</v>
      </c>
      <c r="B183" s="32">
        <v>8312439</v>
      </c>
      <c r="C183" s="32">
        <v>2439</v>
      </c>
      <c r="D183" s="32">
        <v>0</v>
      </c>
      <c r="E183" s="32">
        <v>0</v>
      </c>
    </row>
    <row r="184" spans="1:5" x14ac:dyDescent="0.25">
      <c r="A184" s="31" t="s">
        <v>111</v>
      </c>
      <c r="B184" s="32">
        <v>8312440</v>
      </c>
      <c r="C184" s="32">
        <v>2440</v>
      </c>
      <c r="D184" s="32">
        <v>0</v>
      </c>
      <c r="E184" s="32">
        <v>0</v>
      </c>
    </row>
    <row r="185" spans="1:5" x14ac:dyDescent="0.25">
      <c r="A185" s="31" t="s">
        <v>533</v>
      </c>
      <c r="B185" s="32" t="s">
        <v>730</v>
      </c>
      <c r="C185" s="32" t="s">
        <v>532</v>
      </c>
      <c r="D185" s="32" t="s">
        <v>651</v>
      </c>
      <c r="E185" s="32">
        <v>4</v>
      </c>
    </row>
    <row r="186" spans="1:5" x14ac:dyDescent="0.25">
      <c r="A186" s="31" t="s">
        <v>78</v>
      </c>
      <c r="B186" s="32">
        <v>8312462</v>
      </c>
      <c r="C186" s="32">
        <v>2462</v>
      </c>
      <c r="D186" s="32" t="s">
        <v>606</v>
      </c>
      <c r="E186" s="32">
        <v>1</v>
      </c>
    </row>
    <row r="187" spans="1:5" x14ac:dyDescent="0.25">
      <c r="A187" s="31" t="s">
        <v>116</v>
      </c>
      <c r="B187" s="32">
        <v>8312463</v>
      </c>
      <c r="C187" s="32">
        <v>2463</v>
      </c>
      <c r="D187" s="32">
        <v>0</v>
      </c>
      <c r="E187" s="32">
        <v>0</v>
      </c>
    </row>
    <row r="188" spans="1:5" x14ac:dyDescent="0.25">
      <c r="A188" s="31" t="s">
        <v>81</v>
      </c>
      <c r="B188" s="32">
        <v>8312505</v>
      </c>
      <c r="C188" s="32">
        <v>2505</v>
      </c>
      <c r="D188" s="32" t="s">
        <v>606</v>
      </c>
      <c r="E188" s="32">
        <v>1</v>
      </c>
    </row>
    <row r="189" spans="1:5" x14ac:dyDescent="0.25">
      <c r="A189" s="31" t="s">
        <v>103</v>
      </c>
      <c r="B189" s="32">
        <v>8312020</v>
      </c>
      <c r="C189" s="32">
        <v>2020</v>
      </c>
      <c r="D189" s="32" t="s">
        <v>629</v>
      </c>
      <c r="E189" s="32">
        <v>1</v>
      </c>
    </row>
    <row r="190" spans="1:5" x14ac:dyDescent="0.25">
      <c r="A190" s="31" t="s">
        <v>76</v>
      </c>
      <c r="B190" s="32">
        <v>8312458</v>
      </c>
      <c r="C190" s="32">
        <v>2458</v>
      </c>
      <c r="D190" s="32" t="s">
        <v>606</v>
      </c>
      <c r="E190" s="32">
        <v>0</v>
      </c>
    </row>
    <row r="191" spans="1:5" x14ac:dyDescent="0.25">
      <c r="A191" s="31" t="s">
        <v>62</v>
      </c>
      <c r="B191" s="32">
        <v>8312001</v>
      </c>
      <c r="C191" s="32">
        <v>2001</v>
      </c>
      <c r="D191" s="32" t="s">
        <v>606</v>
      </c>
      <c r="E191" s="32">
        <v>1</v>
      </c>
    </row>
    <row r="192" spans="1:5" x14ac:dyDescent="0.25">
      <c r="A192" s="31" t="s">
        <v>580</v>
      </c>
      <c r="B192" s="32"/>
      <c r="C192" s="32" t="s">
        <v>579</v>
      </c>
      <c r="D192" s="32" t="s">
        <v>591</v>
      </c>
      <c r="E192" s="32">
        <v>3</v>
      </c>
    </row>
    <row r="193" spans="1:5" x14ac:dyDescent="0.25">
      <c r="A193" s="31" t="s">
        <v>68</v>
      </c>
      <c r="B193" s="32">
        <v>8312429</v>
      </c>
      <c r="C193" s="32">
        <v>2429</v>
      </c>
      <c r="D193" s="32" t="s">
        <v>606</v>
      </c>
      <c r="E193" s="32">
        <v>1</v>
      </c>
    </row>
    <row r="194" spans="1:5" x14ac:dyDescent="0.25">
      <c r="A194" s="31" t="s">
        <v>534</v>
      </c>
      <c r="B194" s="32" t="s">
        <v>731</v>
      </c>
      <c r="C194" s="32">
        <v>2534321</v>
      </c>
      <c r="D194" s="32" t="s">
        <v>651</v>
      </c>
      <c r="E194" s="32">
        <v>4</v>
      </c>
    </row>
    <row r="195" spans="1:5" x14ac:dyDescent="0.25">
      <c r="A195" s="31" t="s">
        <v>147</v>
      </c>
      <c r="B195" s="32">
        <v>8314607</v>
      </c>
      <c r="C195" s="32">
        <v>4607</v>
      </c>
      <c r="D195" s="32">
        <v>0</v>
      </c>
      <c r="E195" s="32">
        <v>0</v>
      </c>
    </row>
    <row r="196" spans="1:5" x14ac:dyDescent="0.25">
      <c r="A196" s="31" t="s">
        <v>536</v>
      </c>
      <c r="B196" s="32" t="s">
        <v>732</v>
      </c>
      <c r="C196" s="32" t="s">
        <v>535</v>
      </c>
      <c r="D196" s="32" t="s">
        <v>651</v>
      </c>
      <c r="E196" s="32">
        <v>4</v>
      </c>
    </row>
    <row r="197" spans="1:5" x14ac:dyDescent="0.25">
      <c r="A197" s="31" t="s">
        <v>576</v>
      </c>
      <c r="B197" s="32" t="s">
        <v>753</v>
      </c>
      <c r="C197" s="32" t="s">
        <v>575</v>
      </c>
      <c r="D197" s="32" t="s">
        <v>591</v>
      </c>
      <c r="E197" s="32">
        <v>3</v>
      </c>
    </row>
    <row r="198" spans="1:5" x14ac:dyDescent="0.25">
      <c r="A198" s="31" t="s">
        <v>72</v>
      </c>
      <c r="B198" s="32">
        <v>8312444</v>
      </c>
      <c r="C198" s="32">
        <v>2444</v>
      </c>
      <c r="D198" s="32" t="s">
        <v>606</v>
      </c>
      <c r="E198" s="32">
        <v>1</v>
      </c>
    </row>
    <row r="199" spans="1:5" x14ac:dyDescent="0.25">
      <c r="A199" s="31" t="s">
        <v>84</v>
      </c>
      <c r="B199" s="32">
        <v>8315209</v>
      </c>
      <c r="C199" s="32">
        <v>5209</v>
      </c>
      <c r="D199" s="32" t="s">
        <v>606</v>
      </c>
      <c r="E199" s="32">
        <v>0</v>
      </c>
    </row>
    <row r="200" spans="1:5" x14ac:dyDescent="0.25">
      <c r="A200" s="31" t="s">
        <v>538</v>
      </c>
      <c r="B200" s="32" t="s">
        <v>733</v>
      </c>
      <c r="C200" s="32" t="s">
        <v>537</v>
      </c>
      <c r="D200" s="32" t="s">
        <v>591</v>
      </c>
      <c r="E200" s="32">
        <v>3</v>
      </c>
    </row>
    <row r="201" spans="1:5" x14ac:dyDescent="0.25">
      <c r="A201" s="31" t="s">
        <v>540</v>
      </c>
      <c r="B201" s="32" t="s">
        <v>734</v>
      </c>
      <c r="C201" s="32" t="s">
        <v>539</v>
      </c>
      <c r="D201" s="32" t="s">
        <v>591</v>
      </c>
      <c r="E201" s="32">
        <v>3</v>
      </c>
    </row>
    <row r="202" spans="1:5" x14ac:dyDescent="0.25">
      <c r="A202" s="31" t="s">
        <v>542</v>
      </c>
      <c r="B202" s="32" t="s">
        <v>735</v>
      </c>
      <c r="C202" s="32" t="s">
        <v>541</v>
      </c>
      <c r="D202" s="32" t="s">
        <v>651</v>
      </c>
      <c r="E202" s="32">
        <v>4</v>
      </c>
    </row>
    <row r="203" spans="1:5" x14ac:dyDescent="0.25">
      <c r="A203" s="31" t="s">
        <v>79</v>
      </c>
      <c r="B203" s="32">
        <v>8312469</v>
      </c>
      <c r="C203" s="32">
        <v>2469</v>
      </c>
      <c r="D203" s="32" t="s">
        <v>606</v>
      </c>
      <c r="E203" s="32">
        <v>0</v>
      </c>
    </row>
    <row r="204" spans="1:5" x14ac:dyDescent="0.25">
      <c r="A204" s="31" t="s">
        <v>544</v>
      </c>
      <c r="B204" s="32" t="s">
        <v>736</v>
      </c>
      <c r="C204" s="32" t="s">
        <v>543</v>
      </c>
      <c r="D204" s="32" t="s">
        <v>651</v>
      </c>
      <c r="E204" s="32">
        <v>4</v>
      </c>
    </row>
    <row r="205" spans="1:5" x14ac:dyDescent="0.25">
      <c r="A205" s="31" t="s">
        <v>546</v>
      </c>
      <c r="B205" s="32" t="s">
        <v>737</v>
      </c>
      <c r="C205" s="32" t="s">
        <v>545</v>
      </c>
      <c r="D205" s="32" t="s">
        <v>591</v>
      </c>
      <c r="E205" s="32">
        <v>3</v>
      </c>
    </row>
    <row r="206" spans="1:5" x14ac:dyDescent="0.25">
      <c r="A206" s="31" t="s">
        <v>118</v>
      </c>
      <c r="B206" s="32">
        <v>8312466</v>
      </c>
      <c r="C206" s="32">
        <v>2466</v>
      </c>
      <c r="D206" s="32">
        <v>0</v>
      </c>
      <c r="E206" s="32">
        <v>0</v>
      </c>
    </row>
    <row r="207" spans="1:5" x14ac:dyDescent="0.25">
      <c r="A207" s="31" t="s">
        <v>132</v>
      </c>
      <c r="B207" s="32">
        <v>8313543</v>
      </c>
      <c r="C207" s="32">
        <v>3543</v>
      </c>
      <c r="D207" s="32" t="s">
        <v>629</v>
      </c>
      <c r="E207" s="32">
        <v>1</v>
      </c>
    </row>
    <row r="208" spans="1:5" x14ac:dyDescent="0.25">
      <c r="A208" s="31" t="s">
        <v>548</v>
      </c>
      <c r="B208" s="32" t="s">
        <v>738</v>
      </c>
      <c r="C208" s="32" t="s">
        <v>547</v>
      </c>
      <c r="D208" s="32" t="s">
        <v>591</v>
      </c>
      <c r="E208" s="32">
        <v>3</v>
      </c>
    </row>
    <row r="209" spans="1:5" x14ac:dyDescent="0.25">
      <c r="A209" s="31" t="s">
        <v>550</v>
      </c>
      <c r="B209" s="32" t="s">
        <v>739</v>
      </c>
      <c r="C209" s="32" t="s">
        <v>549</v>
      </c>
      <c r="D209" s="32" t="s">
        <v>591</v>
      </c>
      <c r="E209" s="32">
        <v>3</v>
      </c>
    </row>
    <row r="210" spans="1:5" x14ac:dyDescent="0.25">
      <c r="A210" s="31" t="s">
        <v>128</v>
      </c>
      <c r="B210" s="32">
        <v>8313531</v>
      </c>
      <c r="C210" s="32">
        <v>3531</v>
      </c>
      <c r="D210" s="32">
        <v>0</v>
      </c>
      <c r="E210" s="32">
        <v>0</v>
      </c>
    </row>
    <row r="211" spans="1:5" x14ac:dyDescent="0.25">
      <c r="A211" s="31" t="s">
        <v>83</v>
      </c>
      <c r="B211" s="32">
        <v>8313526</v>
      </c>
      <c r="C211" s="32">
        <v>3526</v>
      </c>
      <c r="D211" s="32" t="s">
        <v>606</v>
      </c>
      <c r="E211" s="32">
        <v>1</v>
      </c>
    </row>
    <row r="212" spans="1:5" x14ac:dyDescent="0.25">
      <c r="A212" s="31" t="s">
        <v>130</v>
      </c>
      <c r="B212" s="32">
        <v>8313535</v>
      </c>
      <c r="C212" s="32">
        <v>3535</v>
      </c>
      <c r="D212" s="32">
        <v>0</v>
      </c>
      <c r="E212" s="32">
        <v>0</v>
      </c>
    </row>
    <row r="213" spans="1:5" x14ac:dyDescent="0.25">
      <c r="A213" s="31" t="s">
        <v>92</v>
      </c>
      <c r="B213" s="32">
        <v>8312008</v>
      </c>
      <c r="C213" s="32">
        <v>2008</v>
      </c>
      <c r="D213" s="32">
        <v>0</v>
      </c>
      <c r="E213" s="32">
        <v>0</v>
      </c>
    </row>
    <row r="214" spans="1:5" x14ac:dyDescent="0.25">
      <c r="A214" s="31" t="s">
        <v>131</v>
      </c>
      <c r="B214" s="32">
        <v>8313542</v>
      </c>
      <c r="C214" s="32">
        <v>3542</v>
      </c>
      <c r="D214" s="32">
        <v>0</v>
      </c>
      <c r="E214" s="32">
        <v>0</v>
      </c>
    </row>
    <row r="215" spans="1:5" x14ac:dyDescent="0.25">
      <c r="A215" s="31" t="s">
        <v>551</v>
      </c>
      <c r="B215" s="32" t="s">
        <v>740</v>
      </c>
      <c r="C215" s="32">
        <v>206154</v>
      </c>
      <c r="D215" s="32" t="s">
        <v>591</v>
      </c>
      <c r="E215" s="32">
        <v>3</v>
      </c>
    </row>
    <row r="216" spans="1:5" x14ac:dyDescent="0.25">
      <c r="A216" s="31" t="s">
        <v>126</v>
      </c>
      <c r="B216" s="32">
        <v>8313528</v>
      </c>
      <c r="C216" s="32">
        <v>3528</v>
      </c>
      <c r="D216" s="32" t="s">
        <v>629</v>
      </c>
      <c r="E216" s="32">
        <v>1</v>
      </c>
    </row>
    <row r="217" spans="1:5" x14ac:dyDescent="0.25">
      <c r="A217" s="31" t="s">
        <v>108</v>
      </c>
      <c r="B217" s="32">
        <v>8312025</v>
      </c>
      <c r="C217" s="32">
        <v>2025</v>
      </c>
      <c r="D217" s="32">
        <v>0</v>
      </c>
      <c r="E217" s="32">
        <v>0</v>
      </c>
    </row>
    <row r="218" spans="1:5" x14ac:dyDescent="0.25">
      <c r="A218" s="31" t="s">
        <v>129</v>
      </c>
      <c r="B218" s="32">
        <v>8313532</v>
      </c>
      <c r="C218" s="32">
        <v>3532</v>
      </c>
      <c r="D218" s="32">
        <v>0</v>
      </c>
      <c r="E218" s="32">
        <v>0</v>
      </c>
    </row>
    <row r="219" spans="1:5" x14ac:dyDescent="0.25">
      <c r="A219" s="31" t="s">
        <v>328</v>
      </c>
      <c r="B219" s="32" t="s">
        <v>626</v>
      </c>
      <c r="C219" s="32">
        <v>1010</v>
      </c>
      <c r="D219" s="32" t="s">
        <v>592</v>
      </c>
      <c r="E219" s="32">
        <v>2</v>
      </c>
    </row>
    <row r="220" spans="1:5" x14ac:dyDescent="0.25">
      <c r="A220" s="31" t="s">
        <v>553</v>
      </c>
      <c r="B220" s="32" t="s">
        <v>741</v>
      </c>
      <c r="C220" s="32" t="s">
        <v>552</v>
      </c>
      <c r="D220" s="32" t="s">
        <v>591</v>
      </c>
      <c r="E220" s="32">
        <v>3</v>
      </c>
    </row>
    <row r="221" spans="1:5" x14ac:dyDescent="0.25">
      <c r="A221" s="31" t="s">
        <v>87</v>
      </c>
      <c r="B221" s="32">
        <v>8314177</v>
      </c>
      <c r="C221" s="32">
        <v>4177</v>
      </c>
      <c r="D221" s="32" t="s">
        <v>606</v>
      </c>
      <c r="E221" s="32">
        <v>1</v>
      </c>
    </row>
    <row r="222" spans="1:5" x14ac:dyDescent="0.25">
      <c r="A222" s="31" t="s">
        <v>556</v>
      </c>
      <c r="B222" s="32" t="s">
        <v>742</v>
      </c>
      <c r="C222" s="32" t="s">
        <v>555</v>
      </c>
      <c r="D222" s="32" t="s">
        <v>591</v>
      </c>
      <c r="E222" s="32">
        <v>3</v>
      </c>
    </row>
    <row r="223" spans="1:5" x14ac:dyDescent="0.25">
      <c r="A223" s="31" t="s">
        <v>557</v>
      </c>
      <c r="B223" s="32" t="s">
        <v>743</v>
      </c>
      <c r="C223" s="32">
        <v>206103</v>
      </c>
      <c r="D223" s="32" t="s">
        <v>651</v>
      </c>
      <c r="E223" s="32">
        <v>4</v>
      </c>
    </row>
    <row r="224" spans="1:5" x14ac:dyDescent="0.25">
      <c r="A224" s="31" t="s">
        <v>558</v>
      </c>
      <c r="B224" s="32">
        <v>0</v>
      </c>
      <c r="C224" s="32">
        <v>2614882</v>
      </c>
      <c r="D224" s="32" t="s">
        <v>651</v>
      </c>
      <c r="E224" s="32">
        <v>4</v>
      </c>
    </row>
    <row r="225" spans="1:5" x14ac:dyDescent="0.25">
      <c r="A225" s="31" t="s">
        <v>560</v>
      </c>
      <c r="B225" s="32" t="s">
        <v>744</v>
      </c>
      <c r="C225" s="32" t="s">
        <v>559</v>
      </c>
      <c r="D225" s="32" t="s">
        <v>651</v>
      </c>
      <c r="E225" s="32">
        <v>4</v>
      </c>
    </row>
    <row r="226" spans="1:5" x14ac:dyDescent="0.25">
      <c r="A226" s="31" t="s">
        <v>525</v>
      </c>
      <c r="B226" s="32">
        <v>0</v>
      </c>
      <c r="C226" s="32" t="s">
        <v>524</v>
      </c>
      <c r="D226" s="32" t="s">
        <v>591</v>
      </c>
      <c r="E226" s="32">
        <v>3</v>
      </c>
    </row>
    <row r="227" spans="1:5" x14ac:dyDescent="0.25">
      <c r="A227" s="31" t="s">
        <v>562</v>
      </c>
      <c r="B227" s="32" t="s">
        <v>745</v>
      </c>
      <c r="C227" s="32" t="s">
        <v>561</v>
      </c>
      <c r="D227" s="32" t="s">
        <v>651</v>
      </c>
      <c r="E227" s="32">
        <v>4</v>
      </c>
    </row>
    <row r="228" spans="1:5" x14ac:dyDescent="0.25">
      <c r="A228" s="31" t="s">
        <v>563</v>
      </c>
      <c r="B228" s="32">
        <v>0</v>
      </c>
      <c r="C228" s="32">
        <v>2498864</v>
      </c>
      <c r="D228" s="32" t="s">
        <v>651</v>
      </c>
      <c r="E228" s="32">
        <v>4</v>
      </c>
    </row>
    <row r="229" spans="1:5" x14ac:dyDescent="0.25">
      <c r="A229" s="31" t="s">
        <v>565</v>
      </c>
      <c r="B229" s="32" t="s">
        <v>746</v>
      </c>
      <c r="C229" s="32" t="s">
        <v>564</v>
      </c>
      <c r="D229" s="32" t="s">
        <v>591</v>
      </c>
      <c r="E229" s="32">
        <v>3</v>
      </c>
    </row>
    <row r="230" spans="1:5" x14ac:dyDescent="0.25">
      <c r="A230" s="31" t="s">
        <v>566</v>
      </c>
      <c r="B230" s="32" t="s">
        <v>747</v>
      </c>
      <c r="C230" s="32">
        <v>258424</v>
      </c>
      <c r="D230" s="32" t="s">
        <v>651</v>
      </c>
      <c r="E230" s="32">
        <v>4</v>
      </c>
    </row>
    <row r="231" spans="1:5" x14ac:dyDescent="0.25">
      <c r="A231" s="31" t="s">
        <v>143</v>
      </c>
      <c r="B231" s="32">
        <v>8314010</v>
      </c>
      <c r="C231" s="32">
        <v>4010</v>
      </c>
      <c r="D231" s="32">
        <v>0</v>
      </c>
      <c r="E231" s="32">
        <v>0</v>
      </c>
    </row>
    <row r="232" spans="1:5" x14ac:dyDescent="0.25">
      <c r="A232" s="31" t="s">
        <v>134</v>
      </c>
      <c r="B232" s="32">
        <v>8313546</v>
      </c>
      <c r="C232" s="32">
        <v>3546</v>
      </c>
      <c r="D232" s="32" t="s">
        <v>629</v>
      </c>
      <c r="E232" s="32">
        <v>1</v>
      </c>
    </row>
    <row r="233" spans="1:5" x14ac:dyDescent="0.25">
      <c r="A233" s="31" t="s">
        <v>329</v>
      </c>
      <c r="B233" s="32" t="s">
        <v>627</v>
      </c>
      <c r="C233" s="32">
        <v>1009</v>
      </c>
      <c r="D233" s="32" t="s">
        <v>592</v>
      </c>
      <c r="E233" s="32">
        <v>2</v>
      </c>
    </row>
    <row r="234" spans="1:5" x14ac:dyDescent="0.25">
      <c r="A234" s="31" t="s">
        <v>127</v>
      </c>
      <c r="B234" s="32">
        <v>8313530</v>
      </c>
      <c r="C234" s="32">
        <v>3530</v>
      </c>
      <c r="D234" s="32" t="s">
        <v>629</v>
      </c>
      <c r="E234" s="32">
        <v>1</v>
      </c>
    </row>
    <row r="235" spans="1:5" x14ac:dyDescent="0.25">
      <c r="A235" s="31" t="s">
        <v>148</v>
      </c>
      <c r="B235" s="32">
        <v>8315412</v>
      </c>
      <c r="C235" s="32">
        <v>5412</v>
      </c>
      <c r="D235" s="32">
        <v>0</v>
      </c>
      <c r="E235" s="32">
        <v>0</v>
      </c>
    </row>
    <row r="236" spans="1:5" x14ac:dyDescent="0.25">
      <c r="A236" s="31" t="s">
        <v>568</v>
      </c>
      <c r="B236" s="32" t="s">
        <v>748</v>
      </c>
      <c r="C236" s="32" t="s">
        <v>567</v>
      </c>
      <c r="D236" s="32" t="s">
        <v>651</v>
      </c>
      <c r="E236" s="32">
        <v>4</v>
      </c>
    </row>
    <row r="237" spans="1:5" x14ac:dyDescent="0.25">
      <c r="A237" s="31" t="s">
        <v>570</v>
      </c>
      <c r="B237" s="32" t="s">
        <v>749</v>
      </c>
      <c r="C237" s="32" t="s">
        <v>569</v>
      </c>
      <c r="D237" s="32" t="s">
        <v>591</v>
      </c>
      <c r="E237" s="32">
        <v>3</v>
      </c>
    </row>
    <row r="238" spans="1:5" x14ac:dyDescent="0.25">
      <c r="A238" s="31" t="s">
        <v>330</v>
      </c>
      <c r="B238" s="32" t="s">
        <v>628</v>
      </c>
      <c r="C238" s="32">
        <v>1015</v>
      </c>
      <c r="D238" s="32" t="s">
        <v>592</v>
      </c>
      <c r="E238" s="32">
        <v>2</v>
      </c>
    </row>
    <row r="239" spans="1:5" x14ac:dyDescent="0.25">
      <c r="A239" s="31" t="s">
        <v>572</v>
      </c>
      <c r="B239" s="32" t="s">
        <v>750</v>
      </c>
      <c r="C239" s="32" t="s">
        <v>571</v>
      </c>
      <c r="D239" s="32" t="s">
        <v>651</v>
      </c>
      <c r="E239" s="32">
        <v>4</v>
      </c>
    </row>
    <row r="240" spans="1:5" x14ac:dyDescent="0.25">
      <c r="A240" s="31" t="s">
        <v>573</v>
      </c>
      <c r="B240" s="32" t="s">
        <v>751</v>
      </c>
      <c r="C240" s="32">
        <v>2568273</v>
      </c>
      <c r="D240" s="32" t="s">
        <v>651</v>
      </c>
      <c r="E240" s="32">
        <v>4</v>
      </c>
    </row>
    <row r="241" spans="1:5" x14ac:dyDescent="0.25">
      <c r="A241" s="31" t="s">
        <v>574</v>
      </c>
      <c r="B241" s="32" t="s">
        <v>752</v>
      </c>
      <c r="C241" s="32">
        <v>509204</v>
      </c>
      <c r="D241" s="32" t="s">
        <v>651</v>
      </c>
      <c r="E241" s="32">
        <v>4</v>
      </c>
    </row>
    <row r="242" spans="1:5" x14ac:dyDescent="0.25">
      <c r="A242" s="31" t="s">
        <v>77</v>
      </c>
      <c r="B242" s="32">
        <v>8312459</v>
      </c>
      <c r="C242" s="32">
        <v>2459</v>
      </c>
      <c r="D242" s="32" t="s">
        <v>606</v>
      </c>
      <c r="E242" s="32">
        <v>0</v>
      </c>
    </row>
    <row r="243" spans="1:5" x14ac:dyDescent="0.25">
      <c r="A243" s="31" t="s">
        <v>91</v>
      </c>
      <c r="B243" s="32">
        <v>8312007</v>
      </c>
      <c r="C243" s="32">
        <v>2007</v>
      </c>
      <c r="D243" s="32" t="s">
        <v>629</v>
      </c>
      <c r="E243" s="32">
        <v>1</v>
      </c>
    </row>
    <row r="244" spans="1:5" x14ac:dyDescent="0.25">
      <c r="A244" s="31" t="s">
        <v>135</v>
      </c>
      <c r="B244" s="32">
        <v>8314000</v>
      </c>
      <c r="C244" s="32">
        <v>4000</v>
      </c>
      <c r="D244" s="32" t="s">
        <v>629</v>
      </c>
      <c r="E244" s="32">
        <v>1</v>
      </c>
    </row>
  </sheetData>
  <sheetProtection algorithmName="SHA-512" hashValue="2Y/lpFhAe1t40To8dgXANBC8AcuKBmKdM9vEf7ZE4CbqWOD2S4tJ9VLnbOZx5aUzkueND2uHHDUgeBgOA0ce6Q==" saltValue="bJrsTQzJGD+Bm1FD03KbfA==" spinCount="100000" sheet="1" objects="1" scenarios="1" autoFilter="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8836-5EE3-41BB-B0A2-041F027EAB0D}">
  <sheetPr codeName="Sheet6"/>
  <dimension ref="A1:F25"/>
  <sheetViews>
    <sheetView showGridLines="0" showRowColHeaders="0" topLeftCell="A11" zoomScale="90" zoomScaleNormal="90" workbookViewId="0">
      <selection activeCell="B12" sqref="B12:D12"/>
    </sheetView>
  </sheetViews>
  <sheetFormatPr defaultColWidth="9.1796875" defaultRowHeight="12.5" x14ac:dyDescent="0.25"/>
  <cols>
    <col min="1" max="1" width="19.26953125" style="265" customWidth="1"/>
    <col min="2" max="2" width="59.1796875" style="265" customWidth="1"/>
    <col min="3" max="3" width="27" style="265" customWidth="1"/>
    <col min="4" max="4" width="61.81640625" style="265" customWidth="1"/>
    <col min="5" max="5" width="9.1796875" style="265"/>
    <col min="6" max="6" width="15" style="265" customWidth="1"/>
    <col min="7" max="16384" width="9.1796875" style="265"/>
  </cols>
  <sheetData>
    <row r="1" spans="1:6" ht="18" customHeight="1" thickBot="1" x14ac:dyDescent="0.3"/>
    <row r="2" spans="1:6" ht="18" customHeight="1" x14ac:dyDescent="0.25">
      <c r="A2" s="51"/>
      <c r="B2" s="640" t="s">
        <v>153</v>
      </c>
    </row>
    <row r="3" spans="1:6" ht="18" customHeight="1" x14ac:dyDescent="0.25">
      <c r="A3" s="51"/>
      <c r="B3" s="641"/>
    </row>
    <row r="4" spans="1:6" ht="18" customHeight="1" thickBot="1" x14ac:dyDescent="0.3">
      <c r="A4" s="51"/>
      <c r="B4" s="642"/>
    </row>
    <row r="6" spans="1:6" ht="13" thickBot="1" x14ac:dyDescent="0.3"/>
    <row r="7" spans="1:6" ht="33" customHeight="1" thickBot="1" x14ac:dyDescent="0.3">
      <c r="B7" s="268" t="s">
        <v>775</v>
      </c>
      <c r="C7" s="269"/>
    </row>
    <row r="9" spans="1:6" ht="13" thickBot="1" x14ac:dyDescent="0.3"/>
    <row r="10" spans="1:6" ht="31.5" customHeight="1" x14ac:dyDescent="0.25">
      <c r="B10" s="643" t="s">
        <v>154</v>
      </c>
      <c r="C10" s="644"/>
      <c r="D10" s="645"/>
      <c r="E10" s="263"/>
      <c r="F10" s="649" t="s">
        <v>1170</v>
      </c>
    </row>
    <row r="11" spans="1:6" ht="30" customHeight="1" thickBot="1" x14ac:dyDescent="0.3">
      <c r="B11" s="681"/>
      <c r="C11" s="682"/>
      <c r="D11" s="683"/>
      <c r="E11" s="51"/>
      <c r="F11" s="650"/>
    </row>
    <row r="12" spans="1:6" ht="33.75" customHeight="1" thickTop="1" thickBot="1" x14ac:dyDescent="0.3">
      <c r="B12" s="684" t="s">
        <v>760</v>
      </c>
      <c r="C12" s="685" t="s">
        <v>156</v>
      </c>
      <c r="D12" s="686" t="s">
        <v>156</v>
      </c>
      <c r="E12" s="78"/>
      <c r="F12" s="227">
        <f>VLOOKUP(Main_Summary,'Schools Lookup'!A:B,2,FALSE)</f>
        <v>12345</v>
      </c>
    </row>
    <row r="13" spans="1:6" ht="19.5" customHeight="1" thickTop="1" x14ac:dyDescent="0.25"/>
    <row r="14" spans="1:6" ht="17.25" customHeight="1" thickBot="1" x14ac:dyDescent="0.3">
      <c r="D14" s="276" t="s">
        <v>157</v>
      </c>
    </row>
    <row r="15" spans="1:6" ht="27.75" customHeight="1" thickBot="1" x14ac:dyDescent="0.3">
      <c r="B15" s="279" t="s">
        <v>158</v>
      </c>
    </row>
    <row r="16" spans="1:6" ht="40" customHeight="1" x14ac:dyDescent="0.25">
      <c r="B16" s="270" t="s">
        <v>159</v>
      </c>
      <c r="C16" s="273">
        <f>'Schools Block'!I59</f>
        <v>0</v>
      </c>
    </row>
    <row r="17" spans="2:3" ht="40" customHeight="1" x14ac:dyDescent="0.25">
      <c r="B17" s="271" t="s">
        <v>160</v>
      </c>
      <c r="C17" s="274">
        <f>SUMIF(ERS!A:A,'Schools Summary'!F12,ERS!G:G)</f>
        <v>0</v>
      </c>
    </row>
    <row r="18" spans="2:3" ht="40" customHeight="1" x14ac:dyDescent="0.25">
      <c r="B18" s="271" t="s">
        <v>161</v>
      </c>
      <c r="C18" s="274">
        <f>'Early Years'!H29</f>
        <v>0</v>
      </c>
    </row>
    <row r="19" spans="2:3" ht="40" customHeight="1" thickBot="1" x14ac:dyDescent="0.3">
      <c r="B19" s="272"/>
      <c r="C19" s="275"/>
    </row>
    <row r="20" spans="2:3" ht="36.75" customHeight="1" thickBot="1" x14ac:dyDescent="0.3">
      <c r="B20" s="277" t="s">
        <v>162</v>
      </c>
      <c r="C20" s="278">
        <f>SUM(C16:C19)</f>
        <v>0</v>
      </c>
    </row>
    <row r="21" spans="2:3" ht="13" thickTop="1" x14ac:dyDescent="0.25"/>
    <row r="22" spans="2:3" ht="15.5" x14ac:dyDescent="0.25">
      <c r="B22" s="49" t="s">
        <v>163</v>
      </c>
    </row>
    <row r="23" spans="2:3" ht="24.75" customHeight="1" x14ac:dyDescent="0.25">
      <c r="B23" s="267" t="s">
        <v>776</v>
      </c>
      <c r="C23" s="266">
        <f>'Schools Block'!I64</f>
        <v>0</v>
      </c>
    </row>
    <row r="24" spans="2:3" ht="18.75" customHeight="1" x14ac:dyDescent="0.25"/>
    <row r="25" spans="2:3" ht="20" x14ac:dyDescent="0.25">
      <c r="B25" s="285" t="s">
        <v>164</v>
      </c>
    </row>
  </sheetData>
  <sheetProtection algorithmName="SHA-512" hashValue="C7k7BPUNm4l+kmmUj2Fxn3HiVofM/Ib4AC1aoDg7yJAd0Eb4gO5TPVN1f3LAm+yXH9jKnDDh55+lTVKUtqL3lA==" saltValue="3bVIfUoxTss9DgN5/ttETA==" spinCount="100000" sheet="1" autoFilter="0"/>
  <mergeCells count="4">
    <mergeCell ref="B10:D11"/>
    <mergeCell ref="F10:F11"/>
    <mergeCell ref="B12:D12"/>
    <mergeCell ref="B2:B4"/>
  </mergeCells>
  <conditionalFormatting sqref="B16:B19">
    <cfRule type="expression" dxfId="32" priority="1">
      <formula>C16&gt;0</formula>
    </cfRule>
  </conditionalFormatting>
  <conditionalFormatting sqref="C16:C19">
    <cfRule type="cellIs" dxfId="31" priority="2" operator="greaterThan">
      <formula>0</formula>
    </cfRule>
  </conditionalFormatting>
  <hyperlinks>
    <hyperlink ref="B2" r:id="rId1" display="mailto:schoolfinanceteam@derby.gov.uk" xr:uid="{9CE2C4DA-0B60-4240-B4D3-803140B26254}"/>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078592A-535F-48B7-9390-A1AECD3BD978}">
          <x14:formula1>
            <xm:f>'Schools Lookup'!$F$7:$F$105</xm:f>
          </x14:formula1>
          <xm:sqref>B12:D12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809EA-CAFD-42E3-80DC-4BE559808B14}">
  <sheetPr codeName="Sheet2">
    <tabColor rgb="FF7030A0"/>
  </sheetPr>
  <dimension ref="A1:D53"/>
  <sheetViews>
    <sheetView workbookViewId="0">
      <selection activeCell="C1" sqref="C1"/>
    </sheetView>
  </sheetViews>
  <sheetFormatPr defaultRowHeight="12.5" x14ac:dyDescent="0.25"/>
  <cols>
    <col min="1" max="1" width="65" bestFit="1" customWidth="1"/>
    <col min="2" max="3" width="32" bestFit="1" customWidth="1"/>
    <col min="4" max="4" width="12.26953125" bestFit="1" customWidth="1"/>
  </cols>
  <sheetData>
    <row r="1" spans="1:4" ht="13.5" x14ac:dyDescent="0.25">
      <c r="A1" s="575" t="s">
        <v>1173</v>
      </c>
      <c r="B1" s="584" t="s">
        <v>1174</v>
      </c>
      <c r="C1" s="584" t="s">
        <v>1175</v>
      </c>
      <c r="D1" s="576"/>
    </row>
    <row r="2" spans="1:4" ht="13.5" x14ac:dyDescent="0.25">
      <c r="A2" s="575"/>
      <c r="B2" s="584"/>
      <c r="C2" s="584"/>
      <c r="D2" s="576"/>
    </row>
    <row r="3" spans="1:4" ht="13.5" x14ac:dyDescent="0.25">
      <c r="A3" s="577" t="s">
        <v>1176</v>
      </c>
      <c r="B3" s="576"/>
      <c r="C3" s="576"/>
      <c r="D3" s="576"/>
    </row>
    <row r="4" spans="1:4" ht="13.5" x14ac:dyDescent="0.25">
      <c r="A4" s="577"/>
      <c r="B4" s="576"/>
      <c r="C4" s="576"/>
      <c r="D4" s="576"/>
    </row>
    <row r="5" spans="1:4" ht="13.5" x14ac:dyDescent="0.25">
      <c r="A5" s="585" t="s">
        <v>1177</v>
      </c>
      <c r="B5" s="578">
        <v>3562</v>
      </c>
      <c r="C5" s="578">
        <v>3847</v>
      </c>
      <c r="D5" s="579">
        <f t="shared" ref="D5:D7" si="0">C5-B5</f>
        <v>285</v>
      </c>
    </row>
    <row r="6" spans="1:4" ht="13.5" x14ac:dyDescent="0.25">
      <c r="A6" s="585" t="s">
        <v>1178</v>
      </c>
      <c r="B6" s="578">
        <v>5022</v>
      </c>
      <c r="C6" s="578">
        <v>5422</v>
      </c>
      <c r="D6" s="579">
        <f t="shared" si="0"/>
        <v>400</v>
      </c>
    </row>
    <row r="7" spans="1:4" ht="13.5" x14ac:dyDescent="0.25">
      <c r="A7" s="585" t="s">
        <v>1179</v>
      </c>
      <c r="B7" s="578">
        <v>5661</v>
      </c>
      <c r="C7" s="578">
        <v>6113</v>
      </c>
      <c r="D7" s="579">
        <f t="shared" si="0"/>
        <v>452</v>
      </c>
    </row>
    <row r="8" spans="1:4" ht="13.5" x14ac:dyDescent="0.25">
      <c r="A8" s="586"/>
      <c r="B8" s="578"/>
      <c r="C8" s="578"/>
      <c r="D8" s="576"/>
    </row>
    <row r="9" spans="1:4" ht="13.5" x14ac:dyDescent="0.25">
      <c r="A9" s="577" t="s">
        <v>203</v>
      </c>
      <c r="B9" s="587"/>
      <c r="C9" s="587"/>
      <c r="D9" s="576"/>
    </row>
    <row r="10" spans="1:4" ht="13.5" x14ac:dyDescent="0.25">
      <c r="A10" s="577" t="s">
        <v>1180</v>
      </c>
      <c r="B10" s="587"/>
      <c r="C10" s="587"/>
      <c r="D10" s="576"/>
    </row>
    <row r="11" spans="1:4" ht="13.5" x14ac:dyDescent="0.25">
      <c r="A11" s="580" t="s">
        <v>1181</v>
      </c>
      <c r="B11" s="581">
        <v>490</v>
      </c>
      <c r="C11" s="581">
        <v>495</v>
      </c>
      <c r="D11" s="579">
        <f t="shared" ref="D11:D18" si="1">C11-B11</f>
        <v>5</v>
      </c>
    </row>
    <row r="12" spans="1:4" ht="13.5" x14ac:dyDescent="0.25">
      <c r="A12" s="580" t="s">
        <v>1182</v>
      </c>
      <c r="B12" s="581">
        <v>820</v>
      </c>
      <c r="C12" s="581">
        <v>1060</v>
      </c>
      <c r="D12" s="579">
        <f t="shared" si="1"/>
        <v>240</v>
      </c>
    </row>
    <row r="13" spans="1:4" ht="13.5" x14ac:dyDescent="0.25">
      <c r="A13" s="585" t="s">
        <v>1183</v>
      </c>
      <c r="B13" s="581">
        <v>235</v>
      </c>
      <c r="C13" s="581">
        <v>235</v>
      </c>
      <c r="D13" s="579">
        <f t="shared" si="1"/>
        <v>0</v>
      </c>
    </row>
    <row r="14" spans="1:4" ht="13.5" x14ac:dyDescent="0.25">
      <c r="A14" s="585" t="s">
        <v>1184</v>
      </c>
      <c r="B14" s="581">
        <v>285</v>
      </c>
      <c r="C14" s="581">
        <v>285</v>
      </c>
      <c r="D14" s="579">
        <f t="shared" si="1"/>
        <v>0</v>
      </c>
    </row>
    <row r="15" spans="1:4" ht="13.5" x14ac:dyDescent="0.25">
      <c r="A15" s="585" t="s">
        <v>1185</v>
      </c>
      <c r="B15" s="581">
        <v>445</v>
      </c>
      <c r="C15" s="581">
        <v>445</v>
      </c>
      <c r="D15" s="579">
        <f t="shared" si="1"/>
        <v>0</v>
      </c>
    </row>
    <row r="16" spans="1:4" ht="13.5" x14ac:dyDescent="0.25">
      <c r="A16" s="585" t="s">
        <v>1186</v>
      </c>
      <c r="B16" s="581">
        <v>485</v>
      </c>
      <c r="C16" s="581">
        <v>490</v>
      </c>
      <c r="D16" s="579">
        <f t="shared" si="1"/>
        <v>5</v>
      </c>
    </row>
    <row r="17" spans="1:4" ht="13.5" x14ac:dyDescent="0.25">
      <c r="A17" s="585" t="s">
        <v>1187</v>
      </c>
      <c r="B17" s="581">
        <v>515</v>
      </c>
      <c r="C17" s="581">
        <v>520</v>
      </c>
      <c r="D17" s="579">
        <f t="shared" si="1"/>
        <v>5</v>
      </c>
    </row>
    <row r="18" spans="1:4" ht="13.5" x14ac:dyDescent="0.25">
      <c r="A18" s="585" t="s">
        <v>1188</v>
      </c>
      <c r="B18" s="581">
        <v>680</v>
      </c>
      <c r="C18" s="581">
        <v>685</v>
      </c>
      <c r="D18" s="579">
        <f t="shared" si="1"/>
        <v>5</v>
      </c>
    </row>
    <row r="19" spans="1:4" ht="13.5" x14ac:dyDescent="0.25">
      <c r="A19" s="577" t="s">
        <v>1189</v>
      </c>
      <c r="B19" s="581"/>
      <c r="C19" s="581"/>
      <c r="D19" s="576"/>
    </row>
    <row r="20" spans="1:4" ht="13.5" x14ac:dyDescent="0.25">
      <c r="A20" s="580" t="s">
        <v>1181</v>
      </c>
      <c r="B20" s="581">
        <v>490</v>
      </c>
      <c r="C20" s="581">
        <v>495</v>
      </c>
      <c r="D20" s="579">
        <f t="shared" ref="D20:D27" si="2">C20-B20</f>
        <v>5</v>
      </c>
    </row>
    <row r="21" spans="1:4" ht="13.5" x14ac:dyDescent="0.25">
      <c r="A21" s="580" t="s">
        <v>1182</v>
      </c>
      <c r="B21" s="581">
        <v>1200</v>
      </c>
      <c r="C21" s="581">
        <v>1555</v>
      </c>
      <c r="D21" s="579">
        <f t="shared" si="2"/>
        <v>355</v>
      </c>
    </row>
    <row r="22" spans="1:4" ht="13.5" x14ac:dyDescent="0.25">
      <c r="A22" s="585" t="s">
        <v>1183</v>
      </c>
      <c r="B22" s="581">
        <v>340</v>
      </c>
      <c r="C22" s="581">
        <v>340</v>
      </c>
      <c r="D22" s="579">
        <f t="shared" si="2"/>
        <v>0</v>
      </c>
    </row>
    <row r="23" spans="1:4" ht="13.5" x14ac:dyDescent="0.25">
      <c r="A23" s="585" t="s">
        <v>1184</v>
      </c>
      <c r="B23" s="581">
        <v>450</v>
      </c>
      <c r="C23" s="581">
        <v>450</v>
      </c>
      <c r="D23" s="579">
        <f t="shared" si="2"/>
        <v>0</v>
      </c>
    </row>
    <row r="24" spans="1:4" ht="13.5" x14ac:dyDescent="0.25">
      <c r="A24" s="585" t="s">
        <v>1185</v>
      </c>
      <c r="B24" s="581">
        <v>630</v>
      </c>
      <c r="C24" s="581">
        <v>635</v>
      </c>
      <c r="D24" s="579">
        <f t="shared" si="2"/>
        <v>5</v>
      </c>
    </row>
    <row r="25" spans="1:4" ht="13.5" x14ac:dyDescent="0.25">
      <c r="A25" s="585" t="s">
        <v>1186</v>
      </c>
      <c r="B25" s="581">
        <v>690</v>
      </c>
      <c r="C25" s="581">
        <v>695</v>
      </c>
      <c r="D25" s="579">
        <f t="shared" si="2"/>
        <v>5</v>
      </c>
    </row>
    <row r="26" spans="1:4" ht="13.5" x14ac:dyDescent="0.25">
      <c r="A26" s="585" t="s">
        <v>1187</v>
      </c>
      <c r="B26" s="581">
        <v>740</v>
      </c>
      <c r="C26" s="581">
        <v>745</v>
      </c>
      <c r="D26" s="579">
        <f t="shared" si="2"/>
        <v>5</v>
      </c>
    </row>
    <row r="27" spans="1:4" ht="13.5" x14ac:dyDescent="0.25">
      <c r="A27" s="585" t="s">
        <v>1188</v>
      </c>
      <c r="B27" s="581">
        <v>945</v>
      </c>
      <c r="C27" s="581">
        <v>950</v>
      </c>
      <c r="D27" s="579">
        <f t="shared" si="2"/>
        <v>5</v>
      </c>
    </row>
    <row r="28" spans="1:4" ht="13.5" x14ac:dyDescent="0.25">
      <c r="A28" s="588"/>
      <c r="B28" s="581"/>
      <c r="C28" s="581"/>
      <c r="D28" s="576"/>
    </row>
    <row r="29" spans="1:4" ht="13.5" x14ac:dyDescent="0.25">
      <c r="A29" s="586" t="s">
        <v>1190</v>
      </c>
      <c r="B29" s="579"/>
      <c r="C29" s="579"/>
      <c r="D29" s="576"/>
    </row>
    <row r="30" spans="1:4" ht="13.5" x14ac:dyDescent="0.25">
      <c r="A30" s="580" t="s">
        <v>1191</v>
      </c>
      <c r="B30" s="578"/>
      <c r="C30" s="578"/>
      <c r="D30" s="579">
        <f>C30-B30</f>
        <v>0</v>
      </c>
    </row>
    <row r="31" spans="1:4" ht="13.5" x14ac:dyDescent="0.25">
      <c r="A31" s="585"/>
      <c r="B31" s="578"/>
      <c r="C31" s="578"/>
      <c r="D31" s="576"/>
    </row>
    <row r="32" spans="1:4" ht="13.5" x14ac:dyDescent="0.25">
      <c r="A32" s="577" t="s">
        <v>1192</v>
      </c>
      <c r="B32" s="579"/>
      <c r="C32" s="579"/>
      <c r="D32" s="576"/>
    </row>
    <row r="33" spans="1:4" ht="13.5" x14ac:dyDescent="0.25">
      <c r="A33" s="580" t="s">
        <v>1193</v>
      </c>
      <c r="B33" s="581">
        <v>590</v>
      </c>
      <c r="C33" s="581">
        <v>595</v>
      </c>
      <c r="D33" s="579">
        <f t="shared" ref="D33:D34" si="3">C33-B33</f>
        <v>5</v>
      </c>
    </row>
    <row r="34" spans="1:4" ht="13.5" x14ac:dyDescent="0.25">
      <c r="A34" s="580" t="s">
        <v>1194</v>
      </c>
      <c r="B34" s="581">
        <v>1585</v>
      </c>
      <c r="C34" s="581">
        <v>1595</v>
      </c>
      <c r="D34" s="579">
        <f t="shared" si="3"/>
        <v>10</v>
      </c>
    </row>
    <row r="35" spans="1:4" ht="13.5" x14ac:dyDescent="0.25">
      <c r="A35" s="588"/>
      <c r="B35" s="578"/>
      <c r="C35" s="578"/>
      <c r="D35" s="576"/>
    </row>
    <row r="36" spans="1:4" ht="13.5" x14ac:dyDescent="0.25">
      <c r="A36" s="586" t="s">
        <v>221</v>
      </c>
      <c r="B36" s="579"/>
      <c r="C36" s="579"/>
      <c r="D36" s="576"/>
    </row>
    <row r="37" spans="1:4" ht="13.5" x14ac:dyDescent="0.25">
      <c r="A37" s="585" t="s">
        <v>1195</v>
      </c>
      <c r="B37" s="581"/>
      <c r="C37" s="581"/>
      <c r="D37" s="576"/>
    </row>
    <row r="38" spans="1:4" ht="13.5" x14ac:dyDescent="0.25">
      <c r="A38" s="585" t="s">
        <v>267</v>
      </c>
      <c r="B38" s="581">
        <v>960</v>
      </c>
      <c r="C38" s="581">
        <v>965</v>
      </c>
      <c r="D38" s="579">
        <f t="shared" ref="D38:D39" si="4">C38-B38</f>
        <v>5</v>
      </c>
    </row>
    <row r="39" spans="1:4" ht="13.5" x14ac:dyDescent="0.25">
      <c r="A39" s="585" t="s">
        <v>199</v>
      </c>
      <c r="B39" s="581">
        <v>1380</v>
      </c>
      <c r="C39" s="581">
        <v>1385</v>
      </c>
      <c r="D39" s="579">
        <f t="shared" si="4"/>
        <v>5</v>
      </c>
    </row>
    <row r="40" spans="1:4" ht="13.5" x14ac:dyDescent="0.25">
      <c r="A40" s="585"/>
      <c r="B40" s="581"/>
      <c r="C40" s="581"/>
      <c r="D40" s="576"/>
    </row>
    <row r="41" spans="1:4" ht="13.5" x14ac:dyDescent="0.25">
      <c r="A41" s="577" t="s">
        <v>1196</v>
      </c>
      <c r="B41" s="582"/>
      <c r="C41" s="582"/>
      <c r="D41" s="576"/>
    </row>
    <row r="42" spans="1:4" ht="13.5" x14ac:dyDescent="0.25">
      <c r="A42" s="580" t="s">
        <v>1197</v>
      </c>
      <c r="B42" s="582">
        <v>1170</v>
      </c>
      <c r="C42" s="582">
        <v>1175</v>
      </c>
      <c r="D42" s="579">
        <f>C42-B42</f>
        <v>5</v>
      </c>
    </row>
    <row r="43" spans="1:4" ht="13.5" x14ac:dyDescent="0.25">
      <c r="A43" s="585" t="s">
        <v>1198</v>
      </c>
      <c r="B43" s="759">
        <v>1775</v>
      </c>
      <c r="C43" s="759">
        <v>1785</v>
      </c>
      <c r="D43" s="760">
        <f>C43-B43</f>
        <v>10</v>
      </c>
    </row>
    <row r="44" spans="1:4" ht="13.5" x14ac:dyDescent="0.25">
      <c r="A44" s="585" t="s">
        <v>1199</v>
      </c>
      <c r="B44" s="759"/>
      <c r="C44" s="759"/>
      <c r="D44" s="761"/>
    </row>
    <row r="45" spans="1:4" ht="13.5" x14ac:dyDescent="0.25">
      <c r="A45" s="585" t="s">
        <v>1200</v>
      </c>
      <c r="B45" s="759"/>
      <c r="C45" s="759"/>
      <c r="D45" s="761"/>
    </row>
    <row r="46" spans="1:4" ht="13.5" x14ac:dyDescent="0.25">
      <c r="A46" s="585" t="s">
        <v>1201</v>
      </c>
      <c r="B46" s="759"/>
      <c r="C46" s="759"/>
      <c r="D46" s="761"/>
    </row>
    <row r="47" spans="1:4" ht="13.5" x14ac:dyDescent="0.25">
      <c r="A47" s="586"/>
      <c r="B47" s="581"/>
      <c r="C47" s="581"/>
      <c r="D47" s="576"/>
    </row>
    <row r="48" spans="1:4" ht="13.5" x14ac:dyDescent="0.25">
      <c r="A48" s="577" t="s">
        <v>1202</v>
      </c>
      <c r="B48" s="581"/>
      <c r="C48" s="581"/>
      <c r="D48" s="576"/>
    </row>
    <row r="49" spans="1:4" ht="13.5" x14ac:dyDescent="0.25">
      <c r="A49" s="583" t="s">
        <v>267</v>
      </c>
      <c r="B49" s="578">
        <v>134400</v>
      </c>
      <c r="C49" s="578">
        <v>145100</v>
      </c>
      <c r="D49" s="579">
        <f>C49-B49</f>
        <v>10700</v>
      </c>
    </row>
    <row r="50" spans="1:4" ht="13.5" x14ac:dyDescent="0.25">
      <c r="A50" s="583" t="s">
        <v>199</v>
      </c>
      <c r="B50" s="578">
        <v>134400</v>
      </c>
      <c r="C50" s="578">
        <v>145100</v>
      </c>
      <c r="D50" s="579">
        <f>C50-B50</f>
        <v>10700</v>
      </c>
    </row>
    <row r="51" spans="1:4" ht="13.5" x14ac:dyDescent="0.25">
      <c r="A51" s="583"/>
      <c r="B51" s="579"/>
      <c r="C51" s="579"/>
      <c r="D51" s="576"/>
    </row>
    <row r="52" spans="1:4" ht="13.5" x14ac:dyDescent="0.25">
      <c r="A52" s="583"/>
      <c r="B52" s="579"/>
      <c r="C52" s="579"/>
      <c r="D52" s="576"/>
    </row>
    <row r="53" spans="1:4" ht="13.5" x14ac:dyDescent="0.25">
      <c r="A53" s="583"/>
      <c r="B53" s="579"/>
      <c r="C53" s="579"/>
      <c r="D53" s="576"/>
    </row>
  </sheetData>
  <mergeCells count="3">
    <mergeCell ref="B43:B46"/>
    <mergeCell ref="C43:C46"/>
    <mergeCell ref="D43:D46"/>
  </mergeCells>
  <conditionalFormatting sqref="B11:C11">
    <cfRule type="expression" dxfId="4" priority="1" stopIfTrue="1">
      <formula>$A$23="N/A"</formula>
    </cfRule>
  </conditionalFormatting>
  <conditionalFormatting sqref="B21:C21">
    <cfRule type="expression" dxfId="3" priority="2" stopIfTrue="1">
      <formula>$A$24="N/A"</formula>
    </cfRule>
  </conditionalFormatting>
  <conditionalFormatting sqref="B33:C33">
    <cfRule type="expression" dxfId="2" priority="3" stopIfTrue="1">
      <formula>$A$45="N/A"</formula>
    </cfRule>
  </conditionalFormatting>
  <conditionalFormatting sqref="B34:C34">
    <cfRule type="expression" dxfId="1" priority="4" stopIfTrue="1">
      <formula>$A$46="N/A"</formula>
    </cfRule>
  </conditionalFormatting>
  <conditionalFormatting sqref="B42:C42">
    <cfRule type="expression" dxfId="0" priority="6" stopIfTrue="1">
      <formula>#REF!="N/A"</formula>
    </cfRule>
  </conditionalFormatting>
  <dataValidations count="7">
    <dataValidation type="list" allowBlank="1" showInputMessage="1" showErrorMessage="1" sqref="A34" xr:uid="{F8798B47-7A7A-491B-86D1-A1F9A494384C}">
      <formula1>"EAL 1 Secondary,EAL 2 Secondary,EAL 3 Secondary, N/A"</formula1>
    </dataValidation>
    <dataValidation type="list" allowBlank="1" showInputMessage="1" showErrorMessage="1" sqref="A33" xr:uid="{10EE8F56-F21F-46B9-A974-6741131A4037}">
      <formula1>"EAL 1 Primary,EAL 2 Primary,EAL 3 Primary, N/A"</formula1>
    </dataValidation>
    <dataValidation type="decimal" operator="greaterThanOrEqual" allowBlank="1" showInputMessage="1" showErrorMessage="1" errorTitle="Error" error="The minimum Primary AWPU is £2,000." sqref="B5:C6" xr:uid="{42579F0C-FA6A-491E-95AE-BCFCC0C76756}">
      <formula1>2000</formula1>
    </dataValidation>
    <dataValidation type="decimal" operator="greaterThanOrEqual" allowBlank="1" showInputMessage="1" showErrorMessage="1" errorTitle="Error" error="The minimum secondary APWU is £3,000." sqref="B7:C8" xr:uid="{96C12F3D-6076-411A-8BBE-CF3D9260B9DB}">
      <formula1>3000</formula1>
    </dataValidation>
    <dataValidation allowBlank="1" showInputMessage="1" sqref="A42 A30" xr:uid="{BAC4D354-D81D-422A-A48D-5C3636C1EF2F}"/>
    <dataValidation type="decimal" operator="greaterThanOrEqual" allowBlank="1" showInputMessage="1" showErrorMessage="1" errorTitle="Error" error="This figure cannot be negative. Please enter a positive unit value." sqref="B33:C34 B37:C40 B42:C43 B11:C28 B30:C31" xr:uid="{4407002D-959D-4BA9-A949-30FB501342F1}">
      <formula1>0</formula1>
    </dataValidation>
    <dataValidation type="decimal" allowBlank="1" showInputMessage="1" showErrorMessage="1" errorTitle="Error" error="This figure must be a postive amount no greater than £175,000. Please provide a valid lump sum." sqref="B49:C50" xr:uid="{13359903-2F00-4990-8906-6894778B3B6E}">
      <formula1>0</formula1>
      <formula2>175000</formula2>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5" id="{99B1751F-56B9-4D9A-A216-A8F5707A31DD}">
            <x14:iconSet custom="1">
              <x14:cfvo type="percent">
                <xm:f>0</xm:f>
              </x14:cfvo>
              <x14:cfvo type="num">
                <xm:f>0</xm:f>
              </x14:cfvo>
              <x14:cfvo type="num" gte="0">
                <xm:f>0</xm:f>
              </x14:cfvo>
              <x14:cfIcon iconSet="3Arrows" iconId="0"/>
              <x14:cfIcon iconSet="3Triangles" iconId="1"/>
              <x14:cfIcon iconSet="3Arrows" iconId="2"/>
            </x14:iconSet>
          </x14:cfRule>
          <xm:sqref>D1:D50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U132"/>
  <sheetViews>
    <sheetView showGridLines="0" zoomScale="60" zoomScaleNormal="60" workbookViewId="0">
      <selection activeCell="I64" sqref="I64:J64"/>
    </sheetView>
  </sheetViews>
  <sheetFormatPr defaultColWidth="9.1796875" defaultRowHeight="12.5" x14ac:dyDescent="0.25"/>
  <cols>
    <col min="1" max="1" width="8.54296875" style="51" customWidth="1"/>
    <col min="2" max="2" width="59.7265625" style="51" customWidth="1"/>
    <col min="3" max="3" width="35.7265625" style="51" customWidth="1"/>
    <col min="4" max="7" width="16.7265625" style="51" customWidth="1"/>
    <col min="8" max="10" width="20.7265625" style="52" customWidth="1"/>
    <col min="11" max="11" width="5.453125" style="51" customWidth="1"/>
    <col min="12" max="12" width="11" style="51" customWidth="1"/>
    <col min="13" max="13" width="8.54296875" style="51" customWidth="1"/>
    <col min="14" max="14" width="7" style="51" customWidth="1"/>
    <col min="15" max="15" width="4.7265625" style="51" customWidth="1"/>
    <col min="16" max="16" width="19" style="570" customWidth="1"/>
    <col min="17" max="17" width="14.26953125" style="570" customWidth="1"/>
    <col min="18" max="18" width="14" style="51" customWidth="1"/>
    <col min="19" max="19" width="15.81640625" style="51" customWidth="1"/>
    <col min="20" max="20" width="11" style="51" customWidth="1"/>
    <col min="21" max="21" width="12.81640625" style="51" customWidth="1"/>
    <col min="22" max="22" width="12.26953125" style="51" customWidth="1"/>
    <col min="23" max="55" width="9.1796875" style="51" customWidth="1"/>
    <col min="56" max="56" width="9.26953125" style="51" customWidth="1"/>
    <col min="57" max="57" width="9.1796875" style="51" customWidth="1"/>
    <col min="58" max="58" width="9.453125" style="51" customWidth="1"/>
    <col min="59" max="16384" width="9.1796875" style="51"/>
  </cols>
  <sheetData>
    <row r="1" spans="2:11" ht="13" thickBot="1" x14ac:dyDescent="0.3"/>
    <row r="2" spans="2:11" ht="13.15" customHeight="1" x14ac:dyDescent="0.25">
      <c r="B2" s="640" t="s">
        <v>153</v>
      </c>
      <c r="C2" s="46"/>
      <c r="H2" s="51"/>
      <c r="I2" s="51"/>
      <c r="J2" s="51"/>
    </row>
    <row r="3" spans="2:11" x14ac:dyDescent="0.25">
      <c r="B3" s="641"/>
      <c r="H3" s="51"/>
      <c r="I3" s="51"/>
      <c r="J3" s="51"/>
    </row>
    <row r="4" spans="2:11" ht="13" thickBot="1" x14ac:dyDescent="0.3">
      <c r="B4" s="642"/>
      <c r="F4" s="52"/>
      <c r="G4" s="52"/>
    </row>
    <row r="5" spans="2:11" x14ac:dyDescent="0.25">
      <c r="B5" s="240"/>
      <c r="F5" s="52"/>
      <c r="G5" s="52"/>
    </row>
    <row r="6" spans="2:11" ht="13" thickBot="1" x14ac:dyDescent="0.3"/>
    <row r="7" spans="2:11" ht="33.75" customHeight="1" thickBot="1" x14ac:dyDescent="0.3">
      <c r="B7" s="239" t="s">
        <v>1150</v>
      </c>
      <c r="C7" s="328"/>
      <c r="D7" s="238"/>
    </row>
    <row r="8" spans="2:11" ht="33.75" customHeight="1" thickBot="1" x14ac:dyDescent="0.3">
      <c r="B8" s="238"/>
      <c r="C8" s="238"/>
      <c r="D8" s="238"/>
    </row>
    <row r="9" spans="2:11" ht="30.75" customHeight="1" x14ac:dyDescent="0.25">
      <c r="B9" s="643" t="s">
        <v>179</v>
      </c>
      <c r="C9" s="644"/>
      <c r="D9" s="645"/>
      <c r="E9" s="53"/>
      <c r="F9" s="649" t="s">
        <v>1170</v>
      </c>
      <c r="G9" s="709">
        <f>IFERROR('Schools Summary'!F12,0)</f>
        <v>12345</v>
      </c>
      <c r="H9" s="80"/>
      <c r="I9" s="80"/>
      <c r="J9" s="81"/>
      <c r="K9" s="62"/>
    </row>
    <row r="10" spans="2:11" ht="33" customHeight="1" thickBot="1" x14ac:dyDescent="0.3">
      <c r="B10" s="646"/>
      <c r="C10" s="647"/>
      <c r="D10" s="648"/>
      <c r="F10" s="650"/>
      <c r="G10" s="710"/>
      <c r="H10" s="69"/>
      <c r="I10" s="77"/>
      <c r="J10" s="237"/>
      <c r="K10" s="62"/>
    </row>
    <row r="11" spans="2:11" ht="40" customHeight="1" thickBot="1" x14ac:dyDescent="0.3">
      <c r="B11" s="725" t="str">
        <f>IFERROR(IF('Schools Summary'!F12=12345,"",'Schools Summary'!B12),0)</f>
        <v/>
      </c>
      <c r="C11" s="726"/>
      <c r="D11" s="727"/>
      <c r="E11" s="78"/>
      <c r="G11" s="228"/>
      <c r="H11" s="69"/>
      <c r="I11" s="77"/>
      <c r="J11" s="237"/>
      <c r="K11" s="62"/>
    </row>
    <row r="12" spans="2:11" ht="15.75" customHeight="1" x14ac:dyDescent="0.25">
      <c r="B12" s="55"/>
      <c r="J12" s="295"/>
      <c r="K12" s="56"/>
    </row>
    <row r="13" spans="2:11" ht="15.75" customHeight="1" x14ac:dyDescent="0.25">
      <c r="B13" s="55"/>
      <c r="J13" s="295"/>
    </row>
    <row r="14" spans="2:11" ht="15.75" customHeight="1" x14ac:dyDescent="0.25">
      <c r="B14" s="55"/>
      <c r="J14" s="295"/>
    </row>
    <row r="15" spans="2:11" ht="13.5" thickBot="1" x14ac:dyDescent="0.3">
      <c r="B15" s="82"/>
      <c r="J15" s="295"/>
    </row>
    <row r="16" spans="2:11" ht="13" x14ac:dyDescent="0.25">
      <c r="B16" s="83"/>
      <c r="C16" s="84"/>
      <c r="D16" s="84"/>
      <c r="E16" s="84"/>
      <c r="F16" s="84"/>
      <c r="G16" s="84"/>
      <c r="H16" s="85"/>
      <c r="I16" s="85"/>
      <c r="J16" s="248"/>
    </row>
    <row r="17" spans="2:21" s="50" customFormat="1" ht="54.75" customHeight="1" x14ac:dyDescent="0.25">
      <c r="B17" s="86" t="s">
        <v>183</v>
      </c>
      <c r="C17" s="301" t="s">
        <v>184</v>
      </c>
      <c r="D17" s="153" t="s">
        <v>185</v>
      </c>
      <c r="E17" s="153" t="s">
        <v>186</v>
      </c>
      <c r="F17" s="153" t="s">
        <v>187</v>
      </c>
      <c r="G17" s="302" t="s">
        <v>188</v>
      </c>
      <c r="H17" s="303" t="s">
        <v>189</v>
      </c>
      <c r="I17" s="154" t="s">
        <v>190</v>
      </c>
      <c r="J17" s="304" t="s">
        <v>191</v>
      </c>
      <c r="P17" s="572" t="s">
        <v>1172</v>
      </c>
      <c r="Q17" s="573" t="s">
        <v>196</v>
      </c>
    </row>
    <row r="18" spans="2:21" ht="27" customHeight="1" x14ac:dyDescent="0.25">
      <c r="B18" s="713" t="s">
        <v>192</v>
      </c>
      <c r="C18" s="305" t="s">
        <v>193</v>
      </c>
      <c r="D18" s="155">
        <f>'Factor Values'!C5</f>
        <v>3847</v>
      </c>
      <c r="E18" s="156"/>
      <c r="F18" s="156"/>
      <c r="G18" s="157">
        <f>IFERROR(VLOOKUP($G$9,'Adjusted Factors'!A:BK,14,FALSE),0)</f>
        <v>0</v>
      </c>
      <c r="H18" s="306">
        <f>G18*D18</f>
        <v>0</v>
      </c>
      <c r="I18" s="158">
        <v>0.12</v>
      </c>
      <c r="J18" s="159">
        <f>D18*G18*I18</f>
        <v>0</v>
      </c>
      <c r="P18" s="574" t="e">
        <f>VLOOKUP($G$9,'ISB new'!$A:$BY,8,FALSE)</f>
        <v>#N/A</v>
      </c>
      <c r="Q18" s="574" t="e">
        <f>+P18-H18</f>
        <v>#N/A</v>
      </c>
    </row>
    <row r="19" spans="2:21" ht="27" customHeight="1" x14ac:dyDescent="0.25">
      <c r="B19" s="728"/>
      <c r="C19" s="305" t="s">
        <v>194</v>
      </c>
      <c r="D19" s="156"/>
      <c r="E19" s="160">
        <f>'Factor Values'!C6</f>
        <v>5422</v>
      </c>
      <c r="F19" s="156"/>
      <c r="G19" s="157">
        <f>IFERROR(VLOOKUP($G$9,'Adjusted Factors'!A:BK,18,FALSE),0)</f>
        <v>0</v>
      </c>
      <c r="H19" s="306">
        <f>G19*E19</f>
        <v>0</v>
      </c>
      <c r="I19" s="158">
        <v>9.7000000000000003E-2</v>
      </c>
      <c r="J19" s="159">
        <f>E19*G19*I19</f>
        <v>0</v>
      </c>
      <c r="P19" s="574" t="e">
        <f>VLOOKUP($G$9,'ISB new'!$A:$BY,9,FALSE)</f>
        <v>#N/A</v>
      </c>
      <c r="Q19" s="574" t="e">
        <f t="shared" ref="Q19:Q20" si="0">+P19-H19</f>
        <v>#N/A</v>
      </c>
    </row>
    <row r="20" spans="2:21" ht="27" customHeight="1" x14ac:dyDescent="0.25">
      <c r="B20" s="714"/>
      <c r="C20" s="305" t="s">
        <v>195</v>
      </c>
      <c r="D20" s="156"/>
      <c r="E20" s="156"/>
      <c r="F20" s="160">
        <f>'Factor Values'!C7</f>
        <v>6113</v>
      </c>
      <c r="G20" s="157">
        <f>IFERROR(VLOOKUP($G$9,'Adjusted Factors'!$A:$BK,19,FALSE),0)</f>
        <v>0</v>
      </c>
      <c r="H20" s="306">
        <f>G20*F20</f>
        <v>0</v>
      </c>
      <c r="I20" s="158">
        <v>8.6300000000000002E-2</v>
      </c>
      <c r="J20" s="159">
        <f>F20*G20*I20</f>
        <v>0</v>
      </c>
      <c r="P20" s="574" t="e">
        <f>VLOOKUP($G$9,'ISB new'!$A:$BY,10,FALSE)</f>
        <v>#N/A</v>
      </c>
      <c r="Q20" s="574" t="e">
        <f t="shared" si="0"/>
        <v>#N/A</v>
      </c>
    </row>
    <row r="21" spans="2:21" ht="20.149999999999999" customHeight="1" x14ac:dyDescent="0.25">
      <c r="B21" s="87"/>
      <c r="C21" s="307"/>
      <c r="D21" s="308"/>
      <c r="E21" s="308"/>
      <c r="F21" s="309" t="s">
        <v>197</v>
      </c>
      <c r="G21" s="174">
        <f>SUM(G18:G20)</f>
        <v>0</v>
      </c>
      <c r="H21" s="172">
        <f>SUM(H18:H20)</f>
        <v>0</v>
      </c>
      <c r="I21" s="173"/>
      <c r="J21" s="310">
        <f>SUM(J18:J20)</f>
        <v>0</v>
      </c>
      <c r="M21" s="52"/>
      <c r="N21" s="52"/>
      <c r="O21" s="52"/>
      <c r="P21" s="574"/>
      <c r="Q21" s="574"/>
    </row>
    <row r="22" spans="2:21" ht="12.75" customHeight="1" x14ac:dyDescent="0.25">
      <c r="B22" s="716"/>
      <c r="C22" s="717"/>
      <c r="D22" s="717"/>
      <c r="E22" s="717"/>
      <c r="F22" s="717"/>
      <c r="G22" s="717"/>
      <c r="H22" s="718"/>
      <c r="I22" s="88"/>
      <c r="J22" s="89"/>
      <c r="P22" s="574"/>
      <c r="Q22" s="574"/>
    </row>
    <row r="23" spans="2:21" ht="36" customHeight="1" x14ac:dyDescent="0.25">
      <c r="B23" s="90" t="s">
        <v>198</v>
      </c>
      <c r="C23" s="91" t="s">
        <v>193</v>
      </c>
      <c r="D23" s="161">
        <f>-'De-del'!Q8</f>
        <v>-77.72999999999999</v>
      </c>
      <c r="E23" s="156"/>
      <c r="F23" s="156"/>
      <c r="G23" s="162">
        <f>IFERROR(F73,0)</f>
        <v>0</v>
      </c>
      <c r="H23" s="163">
        <f>G23*D23</f>
        <v>0</v>
      </c>
      <c r="I23" s="149"/>
      <c r="J23" s="148"/>
      <c r="P23" s="574"/>
      <c r="Q23" s="574"/>
    </row>
    <row r="24" spans="2:21" ht="36" customHeight="1" x14ac:dyDescent="0.25">
      <c r="B24" s="92"/>
      <c r="C24" s="93" t="s">
        <v>199</v>
      </c>
      <c r="D24" s="164"/>
      <c r="E24" s="165">
        <f>-'De-del'!R9</f>
        <v>-66.55</v>
      </c>
      <c r="F24" s="165">
        <f>E24</f>
        <v>-66.55</v>
      </c>
      <c r="G24" s="166">
        <f>IFERROR(G73,0)</f>
        <v>0</v>
      </c>
      <c r="H24" s="167">
        <f>G24*F24</f>
        <v>0</v>
      </c>
      <c r="I24" s="149"/>
      <c r="J24" s="148"/>
      <c r="P24" s="574"/>
      <c r="Q24" s="574"/>
    </row>
    <row r="25" spans="2:21" ht="20.149999999999999" customHeight="1" x14ac:dyDescent="0.25">
      <c r="B25" s="94"/>
      <c r="C25" s="95"/>
      <c r="D25" s="168"/>
      <c r="E25" s="168"/>
      <c r="F25" s="169" t="s">
        <v>197</v>
      </c>
      <c r="G25" s="170">
        <f>SUM(G23:G24)</f>
        <v>0</v>
      </c>
      <c r="H25" s="171">
        <f>SUM(H23:H24)</f>
        <v>0</v>
      </c>
      <c r="I25" s="96"/>
      <c r="J25" s="97"/>
      <c r="P25" s="574" t="e">
        <f>VLOOKUP($G$9,'ISB new'!$A:$BY,72,FALSE)</f>
        <v>#N/A</v>
      </c>
      <c r="Q25" s="574" t="e">
        <f>P25-H25</f>
        <v>#N/A</v>
      </c>
    </row>
    <row r="26" spans="2:21" ht="52.5" customHeight="1" x14ac:dyDescent="0.25">
      <c r="B26" s="79"/>
      <c r="C26" s="301"/>
      <c r="D26" s="311" t="s">
        <v>185</v>
      </c>
      <c r="E26" s="311" t="s">
        <v>200</v>
      </c>
      <c r="F26" s="311" t="s">
        <v>201</v>
      </c>
      <c r="G26" s="302" t="s">
        <v>202</v>
      </c>
      <c r="H26" s="175" t="s">
        <v>189</v>
      </c>
      <c r="I26" s="312" t="s">
        <v>190</v>
      </c>
      <c r="J26" s="304" t="s">
        <v>191</v>
      </c>
      <c r="P26" s="574"/>
      <c r="Q26" s="574"/>
    </row>
    <row r="27" spans="2:21" ht="20.25" customHeight="1" x14ac:dyDescent="0.25">
      <c r="B27" s="719" t="s">
        <v>203</v>
      </c>
      <c r="C27" s="4"/>
      <c r="D27" s="176"/>
      <c r="E27" s="176"/>
      <c r="F27" s="177"/>
      <c r="G27" s="177"/>
      <c r="H27" s="178"/>
      <c r="I27" s="230"/>
      <c r="J27" s="231"/>
      <c r="P27" s="574"/>
      <c r="Q27" s="574"/>
    </row>
    <row r="28" spans="2:21" ht="27" customHeight="1" x14ac:dyDescent="0.25">
      <c r="B28" s="720"/>
      <c r="C28" s="4" t="s">
        <v>204</v>
      </c>
      <c r="D28" s="160">
        <f>'Factor Values'!C11</f>
        <v>495</v>
      </c>
      <c r="E28" s="160">
        <f>'Factor Values'!C20</f>
        <v>495</v>
      </c>
      <c r="F28" s="157">
        <f>IFERROR(VLOOKUP($G$9,'Adjusted Factors'!$A:$BK,28,FALSE),0)</f>
        <v>0</v>
      </c>
      <c r="G28" s="157">
        <f>IFERROR(VLOOKUP($G$9,'Adjusted Factors'!$A:$BK,30,FALSE),0)</f>
        <v>0</v>
      </c>
      <c r="H28" s="179">
        <f>$D28*$F28+($E28*$G28)</f>
        <v>0</v>
      </c>
      <c r="I28" s="158">
        <v>0.35249999999999998</v>
      </c>
      <c r="J28" s="159">
        <f t="shared" ref="J28:J34" si="1">I28*H28</f>
        <v>0</v>
      </c>
      <c r="M28" s="52"/>
      <c r="N28" s="52"/>
      <c r="O28" s="52"/>
      <c r="P28" s="574" t="e">
        <f>VLOOKUP($G$9,'ISB new'!$A:$BY,11,FALSE)+VLOOKUP($G$9,'ISB new'!$A:$BY,12,FALSE)</f>
        <v>#N/A</v>
      </c>
      <c r="Q28" s="574" t="e">
        <f t="shared" ref="Q28" si="2">+P28-H28</f>
        <v>#N/A</v>
      </c>
      <c r="S28" s="52"/>
      <c r="U28" s="52"/>
    </row>
    <row r="29" spans="2:21" ht="27" customHeight="1" x14ac:dyDescent="0.25">
      <c r="B29" s="720"/>
      <c r="C29" s="4" t="s">
        <v>205</v>
      </c>
      <c r="D29" s="160">
        <f>'Factor Values'!C12</f>
        <v>1060</v>
      </c>
      <c r="E29" s="160">
        <f>'Factor Values'!C21</f>
        <v>1555</v>
      </c>
      <c r="F29" s="157">
        <f>IFERROR(VLOOKUP($G$9,'Adjusted Factors'!$A:$BK,29,FALSE),0)</f>
        <v>0</v>
      </c>
      <c r="G29" s="157">
        <f>IFERROR(VLOOKUP($G$9,'Adjusted Factors'!$A:$BK,31,FALSE),0)</f>
        <v>0</v>
      </c>
      <c r="H29" s="179">
        <f>$D29*$F29+($E29*$G29)</f>
        <v>0</v>
      </c>
      <c r="I29" s="158">
        <v>0.35249999999999998</v>
      </c>
      <c r="J29" s="159">
        <f t="shared" ref="J29" si="3">I29*H29</f>
        <v>0</v>
      </c>
      <c r="M29" s="52"/>
      <c r="N29" s="52"/>
      <c r="O29" s="52"/>
      <c r="P29" s="574" t="e">
        <f>VLOOKUP($G$9,'ISB new'!$A:$BY,13,FALSE)+VLOOKUP($G$9,'ISB new'!$A:$BY,14,FALSE)</f>
        <v>#N/A</v>
      </c>
      <c r="Q29" s="574" t="e">
        <f>P29-H29</f>
        <v>#N/A</v>
      </c>
      <c r="S29" s="52"/>
      <c r="U29" s="52"/>
    </row>
    <row r="30" spans="2:21" ht="27" customHeight="1" x14ac:dyDescent="0.25">
      <c r="B30" s="720"/>
      <c r="C30" s="5" t="s">
        <v>206</v>
      </c>
      <c r="D30" s="160">
        <f>'Factor Values'!C13</f>
        <v>235</v>
      </c>
      <c r="E30" s="160">
        <f>'Factor Values'!C22</f>
        <v>340</v>
      </c>
      <c r="F30" s="157">
        <f>IFERROR(VLOOKUP($G$9,'Adjusted Factors'!$A:$BK,33,FALSE),0)</f>
        <v>0</v>
      </c>
      <c r="G30" s="157">
        <f>IFERROR(VLOOKUP($G$9,'Adjusted Factors'!$A:$BK,40,FALSE),0)</f>
        <v>0</v>
      </c>
      <c r="H30" s="179">
        <f t="shared" ref="H30:H35" si="4">$D30*$F30+($E30*$G30)</f>
        <v>0</v>
      </c>
      <c r="I30" s="158">
        <v>0.35249999999999998</v>
      </c>
      <c r="J30" s="159">
        <f t="shared" si="1"/>
        <v>0</v>
      </c>
      <c r="M30" s="52"/>
      <c r="N30" s="52"/>
      <c r="O30" s="52"/>
      <c r="P30" s="574" t="e">
        <f>VLOOKUP($G$9,'ISB new'!$A:$BY,15,FALSE)+VLOOKUP($G$9,'ISB new'!$A:$BY,21,FALSE)</f>
        <v>#N/A</v>
      </c>
      <c r="Q30" s="574" t="e">
        <f t="shared" ref="Q30:Q35" si="5">P30-H30</f>
        <v>#N/A</v>
      </c>
      <c r="S30" s="52"/>
      <c r="U30" s="52"/>
    </row>
    <row r="31" spans="2:21" ht="27" customHeight="1" x14ac:dyDescent="0.25">
      <c r="B31" s="720"/>
      <c r="C31" s="5" t="s">
        <v>207</v>
      </c>
      <c r="D31" s="160">
        <f>'Factor Values'!C14</f>
        <v>285</v>
      </c>
      <c r="E31" s="160">
        <f>'Factor Values'!C23</f>
        <v>450</v>
      </c>
      <c r="F31" s="157">
        <f>IFERROR(VLOOKUP($G$9,'Adjusted Factors'!$A:$BK,34,FALSE),0)</f>
        <v>0</v>
      </c>
      <c r="G31" s="157">
        <f>IFERROR(VLOOKUP($G$9,'Adjusted Factors'!$A:$BK,41,FALSE),0)</f>
        <v>0</v>
      </c>
      <c r="H31" s="179">
        <f t="shared" si="4"/>
        <v>0</v>
      </c>
      <c r="I31" s="158">
        <v>0.35249999999999998</v>
      </c>
      <c r="J31" s="159">
        <f t="shared" si="1"/>
        <v>0</v>
      </c>
      <c r="M31" s="52"/>
      <c r="N31" s="52"/>
      <c r="O31" s="52"/>
      <c r="P31" s="574" t="e">
        <f>VLOOKUP($G$9,'ISB new'!$A:$BY,16,FALSE)+VLOOKUP($G$9,'ISB new'!$A:$BY,22,FALSE)</f>
        <v>#N/A</v>
      </c>
      <c r="Q31" s="574" t="e">
        <f t="shared" si="5"/>
        <v>#N/A</v>
      </c>
      <c r="S31" s="52"/>
      <c r="U31" s="52"/>
    </row>
    <row r="32" spans="2:21" ht="27" customHeight="1" x14ac:dyDescent="0.25">
      <c r="B32" s="720"/>
      <c r="C32" s="5" t="s">
        <v>208</v>
      </c>
      <c r="D32" s="160">
        <f>'Factor Values'!C15</f>
        <v>445</v>
      </c>
      <c r="E32" s="160">
        <f>'Factor Values'!C24</f>
        <v>635</v>
      </c>
      <c r="F32" s="157">
        <f>IFERROR(VLOOKUP($G$9,'Adjusted Factors'!$A:$BK,35,FALSE),0)</f>
        <v>0</v>
      </c>
      <c r="G32" s="157">
        <f>IFERROR(VLOOKUP($G$9,'Adjusted Factors'!$A:$BK,42,FALSE),0)</f>
        <v>0</v>
      </c>
      <c r="H32" s="179">
        <f t="shared" si="4"/>
        <v>0</v>
      </c>
      <c r="I32" s="158">
        <v>0.35249999999999998</v>
      </c>
      <c r="J32" s="159">
        <f t="shared" si="1"/>
        <v>0</v>
      </c>
      <c r="M32" s="52"/>
      <c r="N32" s="52"/>
      <c r="O32" s="52"/>
      <c r="P32" s="574" t="e">
        <f>VLOOKUP($G$9,'ISB new'!$A:$BY,17,FALSE)+VLOOKUP($G$9,'ISB new'!$A:$BY,23,FALSE)</f>
        <v>#N/A</v>
      </c>
      <c r="Q32" s="574" t="e">
        <f t="shared" si="5"/>
        <v>#N/A</v>
      </c>
      <c r="S32" s="52"/>
      <c r="U32" s="52"/>
    </row>
    <row r="33" spans="2:21" ht="27" customHeight="1" x14ac:dyDescent="0.25">
      <c r="B33" s="720"/>
      <c r="C33" s="5" t="s">
        <v>209</v>
      </c>
      <c r="D33" s="160">
        <f>'Factor Values'!C16</f>
        <v>490</v>
      </c>
      <c r="E33" s="160">
        <f>'Factor Values'!C25</f>
        <v>695</v>
      </c>
      <c r="F33" s="157">
        <f>IFERROR(VLOOKUP($G$9,'Adjusted Factors'!$A:$BK,36,FALSE),0)</f>
        <v>0</v>
      </c>
      <c r="G33" s="157">
        <f>IFERROR(VLOOKUP($G$9,'Adjusted Factors'!$A:$BK,43,FALSE),0)</f>
        <v>0</v>
      </c>
      <c r="H33" s="179">
        <f t="shared" si="4"/>
        <v>0</v>
      </c>
      <c r="I33" s="158">
        <v>0.35249999999999998</v>
      </c>
      <c r="J33" s="159">
        <f t="shared" si="1"/>
        <v>0</v>
      </c>
      <c r="M33" s="52"/>
      <c r="N33" s="52"/>
      <c r="O33" s="52"/>
      <c r="P33" s="574" t="e">
        <f>VLOOKUP($G$9,'ISB new'!$A:$BY,18,FALSE)+VLOOKUP($G$9,'ISB new'!$A:$BY,24,FALSE)</f>
        <v>#N/A</v>
      </c>
      <c r="Q33" s="574" t="e">
        <f t="shared" si="5"/>
        <v>#N/A</v>
      </c>
      <c r="S33" s="52"/>
      <c r="U33" s="52"/>
    </row>
    <row r="34" spans="2:21" ht="27" customHeight="1" x14ac:dyDescent="0.25">
      <c r="B34" s="720"/>
      <c r="C34" s="5" t="s">
        <v>210</v>
      </c>
      <c r="D34" s="160">
        <f>'Factor Values'!C17</f>
        <v>520</v>
      </c>
      <c r="E34" s="160">
        <f>'Factor Values'!C26</f>
        <v>745</v>
      </c>
      <c r="F34" s="157">
        <f>IFERROR(VLOOKUP($G$9,'Adjusted Factors'!$A:$BK,37,FALSE),0)</f>
        <v>0</v>
      </c>
      <c r="G34" s="157">
        <f>IFERROR(VLOOKUP($G$9,'Adjusted Factors'!$A:$BK,44,FALSE),0)</f>
        <v>0</v>
      </c>
      <c r="H34" s="179">
        <f t="shared" si="4"/>
        <v>0</v>
      </c>
      <c r="I34" s="158">
        <v>0.35249999999999998</v>
      </c>
      <c r="J34" s="159">
        <f t="shared" si="1"/>
        <v>0</v>
      </c>
      <c r="M34" s="52"/>
      <c r="N34" s="52"/>
      <c r="O34" s="52"/>
      <c r="P34" s="574" t="e">
        <f>VLOOKUP($G$9,'ISB new'!$A:$BY,19,FALSE)+VLOOKUP($G$9,'ISB new'!$A:$BY,25,FALSE)</f>
        <v>#N/A</v>
      </c>
      <c r="Q34" s="574" t="e">
        <f t="shared" si="5"/>
        <v>#N/A</v>
      </c>
      <c r="S34" s="52"/>
      <c r="U34" s="52"/>
    </row>
    <row r="35" spans="2:21" ht="27" customHeight="1" x14ac:dyDescent="0.25">
      <c r="B35" s="721"/>
      <c r="C35" s="5" t="s">
        <v>211</v>
      </c>
      <c r="D35" s="160">
        <f>'Factor Values'!C18</f>
        <v>685</v>
      </c>
      <c r="E35" s="160">
        <f>'Factor Values'!C27</f>
        <v>950</v>
      </c>
      <c r="F35" s="157">
        <f>IFERROR(VLOOKUP($G$9,'Adjusted Factors'!$A:$BK,38,FALSE),0)</f>
        <v>0</v>
      </c>
      <c r="G35" s="157">
        <f>IFERROR(VLOOKUP($G$9,'Adjusted Factors'!$A:$BK,45,FALSE),0)</f>
        <v>0</v>
      </c>
      <c r="H35" s="179">
        <f t="shared" si="4"/>
        <v>0</v>
      </c>
      <c r="I35" s="158">
        <v>0.35249999999999998</v>
      </c>
      <c r="J35" s="159">
        <f>I35*H35</f>
        <v>0</v>
      </c>
      <c r="M35" s="52"/>
      <c r="N35" s="52"/>
      <c r="O35" s="52"/>
      <c r="P35" s="574" t="e">
        <f>VLOOKUP($G$9,'ISB new'!$A:$BY,20,FALSE)+VLOOKUP($G$9,'ISB new'!$A:$BY,26,FALSE)</f>
        <v>#N/A</v>
      </c>
      <c r="Q35" s="574" t="e">
        <f t="shared" si="5"/>
        <v>#N/A</v>
      </c>
      <c r="S35" s="52"/>
      <c r="U35" s="52"/>
    </row>
    <row r="36" spans="2:21" ht="20.149999999999999" customHeight="1" x14ac:dyDescent="0.25">
      <c r="B36" s="98"/>
      <c r="C36" s="99"/>
      <c r="D36" s="180"/>
      <c r="E36" s="181" t="s">
        <v>197</v>
      </c>
      <c r="F36" s="182">
        <f>SUM(F27:F35)</f>
        <v>0</v>
      </c>
      <c r="G36" s="183">
        <f>SUM(G27:G35)</f>
        <v>0</v>
      </c>
      <c r="H36" s="171">
        <f>SUM(H27:H35)</f>
        <v>0</v>
      </c>
      <c r="I36" s="173"/>
      <c r="J36" s="310">
        <f>SUM(J28:J35)</f>
        <v>0</v>
      </c>
      <c r="P36" s="574" t="e">
        <f>SUM(P28:P35)</f>
        <v>#N/A</v>
      </c>
      <c r="Q36" s="574" t="e">
        <f>SUM(Q28:Q35)</f>
        <v>#N/A</v>
      </c>
      <c r="S36" s="52"/>
    </row>
    <row r="37" spans="2:21" ht="33" customHeight="1" x14ac:dyDescent="0.25">
      <c r="B37" s="73"/>
      <c r="C37" s="74"/>
      <c r="D37" s="703" t="s">
        <v>212</v>
      </c>
      <c r="E37" s="703"/>
      <c r="F37" s="703"/>
      <c r="G37" s="184" t="s">
        <v>213</v>
      </c>
      <c r="H37" s="185" t="s">
        <v>181</v>
      </c>
      <c r="I37" s="186"/>
      <c r="J37" s="186" t="s">
        <v>181</v>
      </c>
      <c r="P37" s="574"/>
      <c r="Q37" s="574"/>
    </row>
    <row r="38" spans="2:21" ht="44.25" customHeight="1" x14ac:dyDescent="0.25">
      <c r="B38" s="713" t="s">
        <v>214</v>
      </c>
      <c r="C38" s="147" t="s">
        <v>215</v>
      </c>
      <c r="D38" s="715">
        <f>'Factor Values'!C42</f>
        <v>1175</v>
      </c>
      <c r="E38" s="715"/>
      <c r="F38" s="715"/>
      <c r="G38" s="157">
        <f>IFERROR(VLOOKUP($G$9,'Adjusted Factors'!$A:$BK,48,FALSE),0)</f>
        <v>0</v>
      </c>
      <c r="H38" s="179">
        <f>$G38*$D38</f>
        <v>0</v>
      </c>
      <c r="I38" s="158">
        <v>0.32250000000000001</v>
      </c>
      <c r="J38" s="163">
        <f>I38*H38</f>
        <v>0</v>
      </c>
      <c r="P38" s="574" t="e">
        <f>VLOOKUP($G$9,'ISB new'!$A:$BY,29,FALSE)</f>
        <v>#N/A</v>
      </c>
      <c r="Q38" s="574" t="e">
        <f>P38-H38</f>
        <v>#N/A</v>
      </c>
    </row>
    <row r="39" spans="2:21" ht="50.25" customHeight="1" x14ac:dyDescent="0.25">
      <c r="B39" s="714"/>
      <c r="C39" s="147" t="s">
        <v>216</v>
      </c>
      <c r="D39" s="715">
        <f>'Factor Values'!C43</f>
        <v>1785</v>
      </c>
      <c r="E39" s="715"/>
      <c r="F39" s="715"/>
      <c r="G39" s="157">
        <f>IFERROR(VLOOKUP($G$9,'Adjusted Factors'!$A:$BK,54,FALSE),0)</f>
        <v>0</v>
      </c>
      <c r="H39" s="179">
        <f>$G39*$D39</f>
        <v>0</v>
      </c>
      <c r="I39" s="158">
        <v>0.32250000000000001</v>
      </c>
      <c r="J39" s="163">
        <f>I39*H39</f>
        <v>0</v>
      </c>
      <c r="P39" s="574" t="e">
        <f>VLOOKUP($G$9,'ISB new'!$A:$BY,30,FALSE)</f>
        <v>#N/A</v>
      </c>
      <c r="Q39" s="574" t="e">
        <f>P39-H39</f>
        <v>#N/A</v>
      </c>
    </row>
    <row r="40" spans="2:21" ht="27" customHeight="1" x14ac:dyDescent="0.25">
      <c r="B40" s="18"/>
      <c r="C40" s="145"/>
      <c r="D40" s="722" t="s">
        <v>212</v>
      </c>
      <c r="E40" s="722"/>
      <c r="F40" s="722"/>
      <c r="G40" s="187" t="s">
        <v>213</v>
      </c>
      <c r="H40" s="185" t="s">
        <v>181</v>
      </c>
      <c r="I40" s="186"/>
      <c r="J40" s="186" t="s">
        <v>181</v>
      </c>
      <c r="P40" s="574"/>
      <c r="Q40" s="574"/>
    </row>
    <row r="41" spans="2:21" ht="46.5" customHeight="1" x14ac:dyDescent="0.25">
      <c r="B41" s="713" t="s">
        <v>217</v>
      </c>
      <c r="C41" s="146" t="s">
        <v>218</v>
      </c>
      <c r="D41" s="715">
        <f>'Factor Values'!C33</f>
        <v>595</v>
      </c>
      <c r="E41" s="715"/>
      <c r="F41" s="715"/>
      <c r="G41" s="157">
        <f>IFERROR(VLOOKUP($G$9,'Adjusted Factors'!$A:$BK,46,FALSE),0)</f>
        <v>0</v>
      </c>
      <c r="H41" s="179">
        <f>$G41*$D41</f>
        <v>0</v>
      </c>
      <c r="I41" s="158">
        <v>0.40050000000000002</v>
      </c>
      <c r="J41" s="163">
        <f>I41*H41</f>
        <v>0</v>
      </c>
      <c r="P41" s="574" t="e">
        <f>VLOOKUP($G$9,'ISB new'!$A:$BY,27,FALSE)</f>
        <v>#N/A</v>
      </c>
      <c r="Q41" s="574" t="e">
        <f>P41-H41</f>
        <v>#N/A</v>
      </c>
    </row>
    <row r="42" spans="2:21" ht="46.5" customHeight="1" x14ac:dyDescent="0.25">
      <c r="B42" s="714"/>
      <c r="C42" s="146" t="s">
        <v>219</v>
      </c>
      <c r="D42" s="715">
        <f>'Factor Values'!C34</f>
        <v>1595</v>
      </c>
      <c r="E42" s="715"/>
      <c r="F42" s="715"/>
      <c r="G42" s="157">
        <f>IFERROR(VLOOKUP($G$9,'Adjusted Factors'!$A:$BK,47,FALSE),0)</f>
        <v>0</v>
      </c>
      <c r="H42" s="179">
        <f>$G42*$D42</f>
        <v>0</v>
      </c>
      <c r="I42" s="158">
        <v>0.40050000000000002</v>
      </c>
      <c r="J42" s="163">
        <f>I42*H42</f>
        <v>0</v>
      </c>
      <c r="K42" s="52"/>
      <c r="P42" s="574" t="e">
        <f>VLOOKUP($G$9,'ISB new'!$A:$BY,28,FALSE)</f>
        <v>#N/A</v>
      </c>
      <c r="Q42" s="574" t="e">
        <f>P42-H42</f>
        <v>#N/A</v>
      </c>
    </row>
    <row r="43" spans="2:21" ht="15.5" x14ac:dyDescent="0.25">
      <c r="B43" s="100"/>
      <c r="C43" s="313"/>
      <c r="D43" s="314" t="s">
        <v>220</v>
      </c>
      <c r="E43" s="723" t="s">
        <v>212</v>
      </c>
      <c r="F43" s="724"/>
      <c r="G43" s="188" t="s">
        <v>213</v>
      </c>
      <c r="H43" s="185" t="s">
        <v>181</v>
      </c>
      <c r="I43" s="186"/>
      <c r="J43" s="186" t="s">
        <v>181</v>
      </c>
      <c r="P43" s="574"/>
      <c r="Q43" s="574"/>
    </row>
    <row r="44" spans="2:21" ht="78" customHeight="1" x14ac:dyDescent="0.25">
      <c r="B44" s="76" t="s">
        <v>221</v>
      </c>
      <c r="C44" s="146" t="s">
        <v>222</v>
      </c>
      <c r="D44" s="189">
        <f>IFERROR(G44/G18,0)</f>
        <v>0</v>
      </c>
      <c r="E44" s="711">
        <f>'Factor Values'!C38</f>
        <v>965</v>
      </c>
      <c r="F44" s="712"/>
      <c r="G44" s="157">
        <f>IFERROR(VLOOKUP($G$9,'Adjusted Factors'!$A:$BK,55,FALSE),0)</f>
        <v>0</v>
      </c>
      <c r="H44" s="179">
        <f>$G44*$E44</f>
        <v>0</v>
      </c>
      <c r="I44" s="158">
        <v>1</v>
      </c>
      <c r="J44" s="163">
        <f>I44*H44</f>
        <v>0</v>
      </c>
      <c r="P44" s="574" t="e">
        <f>VLOOKUP($G$9,'ISB new'!$A:$BY,31,FALSE)</f>
        <v>#N/A</v>
      </c>
      <c r="Q44" s="574" t="e">
        <f>P44-H44</f>
        <v>#N/A</v>
      </c>
    </row>
    <row r="45" spans="2:21" ht="78" customHeight="1" x14ac:dyDescent="0.25">
      <c r="B45" s="101" t="s">
        <v>223</v>
      </c>
      <c r="C45" s="147" t="s">
        <v>224</v>
      </c>
      <c r="D45" s="189">
        <f>IFERROR(G45/(G19+G20),0)</f>
        <v>0</v>
      </c>
      <c r="E45" s="711">
        <f>'Factor Values'!C39</f>
        <v>1385</v>
      </c>
      <c r="F45" s="712"/>
      <c r="G45" s="157">
        <f>IFERROR(VLOOKUP($G$9,'Adjusted Factors'!$A:$BK,56,FALSE),0)</f>
        <v>0</v>
      </c>
      <c r="H45" s="330">
        <f>$G45*$E45</f>
        <v>0</v>
      </c>
      <c r="I45" s="158">
        <v>1</v>
      </c>
      <c r="J45" s="163">
        <f>I45*H45</f>
        <v>0</v>
      </c>
      <c r="K45" s="52"/>
      <c r="P45" s="574" t="e">
        <f>VLOOKUP($G$9,'ISB new'!$A:$BY,32,FALSE)</f>
        <v>#N/A</v>
      </c>
      <c r="Q45" s="574" t="e">
        <f>P45-H45</f>
        <v>#N/A</v>
      </c>
    </row>
    <row r="46" spans="2:21" ht="20.149999999999999" customHeight="1" x14ac:dyDescent="0.25">
      <c r="B46" s="73"/>
      <c r="C46" s="74"/>
      <c r="D46" s="703" t="s">
        <v>225</v>
      </c>
      <c r="E46" s="703"/>
      <c r="F46" s="703"/>
      <c r="G46" s="190" t="s">
        <v>226</v>
      </c>
      <c r="H46" s="185" t="s">
        <v>181</v>
      </c>
      <c r="I46" s="191"/>
      <c r="J46" s="192"/>
      <c r="P46" s="574"/>
      <c r="Q46" s="574"/>
    </row>
    <row r="47" spans="2:21" ht="35.15" customHeight="1" x14ac:dyDescent="0.25">
      <c r="B47" s="43" t="s">
        <v>227</v>
      </c>
      <c r="C47" s="102"/>
      <c r="D47" s="687">
        <f>IFERROR(VLOOKUP(G9,'ISB new'!A:AG,33,FALSE),0)</f>
        <v>0</v>
      </c>
      <c r="E47" s="688"/>
      <c r="F47" s="689"/>
      <c r="G47" s="193">
        <v>1</v>
      </c>
      <c r="H47" s="179">
        <f>$G47*$D47</f>
        <v>0</v>
      </c>
      <c r="I47" s="194"/>
      <c r="J47" s="195"/>
      <c r="P47" s="574" t="e">
        <f>VLOOKUP($G$9,'ISB new'!$A:$BY,33,FALSE)</f>
        <v>#N/A</v>
      </c>
      <c r="Q47" s="574" t="e">
        <f>P47-D47</f>
        <v>#N/A</v>
      </c>
    </row>
    <row r="48" spans="2:21" ht="20.149999999999999" customHeight="1" x14ac:dyDescent="0.25">
      <c r="B48" s="18"/>
      <c r="C48" s="74"/>
      <c r="D48" s="703" t="s">
        <v>228</v>
      </c>
      <c r="E48" s="703"/>
      <c r="F48" s="703"/>
      <c r="G48" s="190" t="s">
        <v>226</v>
      </c>
      <c r="H48" s="185" t="s">
        <v>181</v>
      </c>
      <c r="I48" s="196"/>
      <c r="J48" s="197"/>
      <c r="P48" s="574"/>
      <c r="Q48" s="574"/>
    </row>
    <row r="49" spans="2:20" ht="35.15" customHeight="1" x14ac:dyDescent="0.25">
      <c r="B49" s="43" t="s">
        <v>229</v>
      </c>
      <c r="C49" s="3"/>
      <c r="D49" s="687">
        <f>IFERROR(VLOOKUP($G$9,'ISB new'!$A:$AL,36,FALSE),0)</f>
        <v>0</v>
      </c>
      <c r="E49" s="688"/>
      <c r="F49" s="689"/>
      <c r="G49" s="198">
        <v>1</v>
      </c>
      <c r="H49" s="179">
        <f>$G49*$D49</f>
        <v>0</v>
      </c>
      <c r="I49" s="199"/>
      <c r="J49" s="200"/>
      <c r="P49" s="574" t="e">
        <f>VLOOKUP($G$9,'ISB new'!$A:$BY,36,FALSE)</f>
        <v>#N/A</v>
      </c>
      <c r="Q49" s="574" t="e">
        <f>P49-D49</f>
        <v>#N/A</v>
      </c>
    </row>
    <row r="50" spans="2:20" ht="20.149999999999999" customHeight="1" x14ac:dyDescent="0.25">
      <c r="B50" s="18"/>
      <c r="C50" s="74"/>
      <c r="D50" s="703" t="s">
        <v>230</v>
      </c>
      <c r="E50" s="703"/>
      <c r="F50" s="703"/>
      <c r="G50" s="190" t="s">
        <v>226</v>
      </c>
      <c r="H50" s="185" t="s">
        <v>181</v>
      </c>
      <c r="I50" s="196"/>
      <c r="J50" s="197"/>
      <c r="P50" s="574"/>
      <c r="Q50" s="574"/>
    </row>
    <row r="51" spans="2:20" ht="35.15" customHeight="1" x14ac:dyDescent="0.25">
      <c r="B51" s="43" t="s">
        <v>231</v>
      </c>
      <c r="C51" s="3"/>
      <c r="D51" s="687">
        <f>IFERROR(VLOOKUP($G$9,'ISB new'!$A:$AL,38,FALSE),0)</f>
        <v>0</v>
      </c>
      <c r="E51" s="688"/>
      <c r="F51" s="689"/>
      <c r="G51" s="198">
        <v>1</v>
      </c>
      <c r="H51" s="179">
        <f>$G51*$D51</f>
        <v>0</v>
      </c>
      <c r="I51" s="194"/>
      <c r="J51" s="195"/>
      <c r="P51" s="574" t="e">
        <f>VLOOKUP($G$9,'ISB new'!$A:$BY,38,FALSE)</f>
        <v>#N/A</v>
      </c>
      <c r="Q51" s="574" t="e">
        <f>P51-D51</f>
        <v>#N/A</v>
      </c>
    </row>
    <row r="52" spans="2:20" ht="20.149999999999999" customHeight="1" x14ac:dyDescent="0.25">
      <c r="B52" s="18"/>
      <c r="C52" s="74"/>
      <c r="D52" s="703" t="s">
        <v>232</v>
      </c>
      <c r="E52" s="703"/>
      <c r="F52" s="703"/>
      <c r="G52" s="190" t="s">
        <v>226</v>
      </c>
      <c r="H52" s="185" t="s">
        <v>181</v>
      </c>
      <c r="I52" s="196"/>
      <c r="J52" s="197"/>
      <c r="P52" s="574"/>
      <c r="Q52" s="574"/>
    </row>
    <row r="53" spans="2:20" ht="42.75" customHeight="1" x14ac:dyDescent="0.25">
      <c r="B53" s="42" t="s">
        <v>1204</v>
      </c>
      <c r="C53" s="3"/>
      <c r="D53" s="687">
        <f>IFERROR(VLOOKUP(G9,'ISB new'!A:BN,66,FALSE)+VLOOKUP(G9,'ISB new'!A:BN,54,FALSE),0)</f>
        <v>0</v>
      </c>
      <c r="E53" s="688"/>
      <c r="F53" s="689"/>
      <c r="G53" s="198">
        <v>1</v>
      </c>
      <c r="H53" s="179">
        <f>$G53*$D53</f>
        <v>0</v>
      </c>
      <c r="I53" s="194"/>
      <c r="J53" s="201" t="s">
        <v>233</v>
      </c>
      <c r="P53" s="574" t="e">
        <f>VLOOKUP($G$9,'ISB new'!$A:$BY,66,FALSE)+VLOOKUP($G$9,'ISB new'!$A:$BY,54,FALSE)</f>
        <v>#N/A</v>
      </c>
      <c r="Q53" s="574" t="e">
        <f>P53-D53</f>
        <v>#N/A</v>
      </c>
    </row>
    <row r="54" spans="2:20" ht="20.149999999999999" customHeight="1" thickBot="1" x14ac:dyDescent="0.3">
      <c r="B54" s="103"/>
      <c r="C54" s="104"/>
      <c r="D54" s="703"/>
      <c r="E54" s="703"/>
      <c r="F54" s="703"/>
      <c r="G54" s="190"/>
      <c r="H54" s="185" t="s">
        <v>181</v>
      </c>
      <c r="I54" s="202"/>
      <c r="J54" s="203"/>
      <c r="P54" s="574"/>
      <c r="Q54" s="574"/>
    </row>
    <row r="55" spans="2:20" ht="30" customHeight="1" thickBot="1" x14ac:dyDescent="0.3">
      <c r="B55" s="17" t="s">
        <v>234</v>
      </c>
      <c r="C55" s="105"/>
      <c r="D55" s="204"/>
      <c r="E55" s="205"/>
      <c r="F55" s="206"/>
      <c r="G55" s="206"/>
      <c r="H55" s="234">
        <f>H21+H36+H38+H39+H41+H42+H44+H45+H47+H49+H51+H53+H25</f>
        <v>0</v>
      </c>
      <c r="I55" s="207"/>
      <c r="J55" s="235">
        <f>J21+J36+J38+J39+J41+J42+J44+J45+J47+J49+J51+J25</f>
        <v>0</v>
      </c>
      <c r="P55" s="574" t="e">
        <f>VLOOKUP(G9,'ISB new'!A:AW,49,FALSE)</f>
        <v>#N/A</v>
      </c>
      <c r="Q55" s="574" t="e">
        <f>P55-J55</f>
        <v>#N/A</v>
      </c>
    </row>
    <row r="56" spans="2:20" x14ac:dyDescent="0.25">
      <c r="B56" s="55"/>
      <c r="H56" s="66"/>
      <c r="J56" s="295"/>
      <c r="P56" s="574"/>
      <c r="Q56" s="574"/>
    </row>
    <row r="57" spans="2:20" ht="13" x14ac:dyDescent="0.25">
      <c r="B57" s="106"/>
      <c r="C57" s="107"/>
      <c r="D57" s="696"/>
      <c r="E57" s="696"/>
      <c r="F57" s="696"/>
      <c r="G57" s="14"/>
      <c r="H57" s="70"/>
      <c r="I57" s="108"/>
      <c r="J57" s="315"/>
      <c r="L57" s="229"/>
      <c r="M57" s="229"/>
      <c r="N57" s="229"/>
      <c r="P57" s="574"/>
      <c r="Q57" s="574"/>
    </row>
    <row r="58" spans="2:20" ht="13.5" thickBot="1" x14ac:dyDescent="0.3">
      <c r="B58" s="106"/>
      <c r="C58" s="107"/>
      <c r="D58" s="108"/>
      <c r="E58" s="108"/>
      <c r="F58" s="108"/>
      <c r="G58" s="14"/>
      <c r="H58" s="70"/>
      <c r="I58" s="108"/>
      <c r="J58" s="315"/>
      <c r="P58" s="574"/>
      <c r="Q58" s="574"/>
    </row>
    <row r="59" spans="2:20" ht="30" customHeight="1" thickBot="1" x14ac:dyDescent="0.3">
      <c r="B59" s="697" t="s">
        <v>235</v>
      </c>
      <c r="C59" s="698"/>
      <c r="D59" s="698"/>
      <c r="E59" s="698"/>
      <c r="F59" s="698"/>
      <c r="G59" s="698"/>
      <c r="H59" s="699"/>
      <c r="I59" s="705">
        <f>$H55</f>
        <v>0</v>
      </c>
      <c r="J59" s="706"/>
      <c r="K59" s="109"/>
      <c r="N59" s="69"/>
      <c r="O59" s="69"/>
      <c r="P59" s="574" t="e">
        <f>VLOOKUP($G$9,'ISB new'!$A:$BY,77,FALSE)</f>
        <v>#N/A</v>
      </c>
      <c r="Q59" s="574" t="e">
        <f>P59-I59</f>
        <v>#N/A</v>
      </c>
      <c r="S59" s="66"/>
      <c r="T59" s="66"/>
    </row>
    <row r="60" spans="2:20" ht="21" customHeight="1" x14ac:dyDescent="0.25">
      <c r="B60" s="48"/>
      <c r="C60" s="48"/>
      <c r="D60" s="48"/>
      <c r="E60" s="48"/>
      <c r="F60" s="48"/>
      <c r="G60" s="48"/>
      <c r="H60" s="110"/>
      <c r="I60" s="80"/>
      <c r="J60" s="80"/>
      <c r="K60" s="109"/>
      <c r="L60" s="69"/>
      <c r="M60" s="69"/>
      <c r="N60" s="69"/>
      <c r="O60" s="69"/>
      <c r="P60" s="569"/>
    </row>
    <row r="61" spans="2:20" ht="21" customHeight="1" x14ac:dyDescent="0.25">
      <c r="B61" s="49"/>
      <c r="C61" s="49"/>
      <c r="D61" s="49"/>
      <c r="E61" s="49"/>
      <c r="F61" s="49"/>
      <c r="G61" s="49"/>
      <c r="H61" s="111"/>
      <c r="I61" s="77"/>
      <c r="J61" s="77"/>
      <c r="K61" s="109"/>
      <c r="L61" s="69"/>
      <c r="M61" s="69"/>
      <c r="N61" s="69"/>
      <c r="O61" s="69"/>
      <c r="P61" s="569"/>
    </row>
    <row r="62" spans="2:20" ht="21" customHeight="1" thickBot="1" x14ac:dyDescent="0.3">
      <c r="B62" s="49" t="s">
        <v>163</v>
      </c>
      <c r="C62" s="49"/>
      <c r="D62" s="49"/>
      <c r="E62" s="49"/>
      <c r="F62" s="49"/>
      <c r="G62" s="49"/>
      <c r="H62" s="111"/>
      <c r="I62" s="77"/>
      <c r="J62" s="77"/>
      <c r="K62" s="109"/>
      <c r="L62" s="69"/>
      <c r="M62" s="69"/>
      <c r="N62" s="69"/>
      <c r="O62" s="69"/>
      <c r="P62" s="569"/>
    </row>
    <row r="63" spans="2:20" ht="20.149999999999999" customHeight="1" x14ac:dyDescent="0.25">
      <c r="B63" s="700" t="s">
        <v>236</v>
      </c>
      <c r="C63" s="701"/>
      <c r="D63" s="701"/>
      <c r="E63" s="701"/>
      <c r="F63" s="701"/>
      <c r="G63" s="701"/>
      <c r="H63" s="701"/>
      <c r="I63" s="701"/>
      <c r="J63" s="702"/>
    </row>
    <row r="64" spans="2:20" ht="35.25" customHeight="1" thickBot="1" x14ac:dyDescent="0.3">
      <c r="B64" s="247" t="s">
        <v>776</v>
      </c>
      <c r="C64" s="241"/>
      <c r="D64" s="242"/>
      <c r="E64" s="243"/>
      <c r="F64" s="244"/>
      <c r="G64" s="245"/>
      <c r="H64" s="246"/>
      <c r="I64" s="707">
        <f>IFERROR(VLOOKUP($G$9,'ISB new'!$A:$AL,37,FALSE),0)</f>
        <v>0</v>
      </c>
      <c r="J64" s="708"/>
      <c r="K64" s="112"/>
      <c r="L64" s="66"/>
      <c r="M64" s="66"/>
      <c r="N64" s="66"/>
      <c r="O64" s="66"/>
      <c r="P64" s="574" t="e">
        <f>VLOOKUP($G$9,'ISB new'!$A:$BY,37,FALSE)</f>
        <v>#N/A</v>
      </c>
      <c r="Q64" s="574" t="e">
        <f>P64-I64</f>
        <v>#N/A</v>
      </c>
    </row>
    <row r="65" spans="2:10" ht="21" customHeight="1" thickTop="1" x14ac:dyDescent="0.25">
      <c r="C65" s="251"/>
      <c r="D65" s="251"/>
      <c r="E65" s="251"/>
      <c r="F65" s="251"/>
      <c r="G65" s="251"/>
      <c r="H65" s="252"/>
      <c r="I65" s="252"/>
    </row>
    <row r="66" spans="2:10" ht="27" customHeight="1" x14ac:dyDescent="0.25">
      <c r="B66" s="14"/>
      <c r="C66" s="50"/>
      <c r="E66" s="75"/>
      <c r="F66" s="66"/>
      <c r="G66" s="113"/>
      <c r="H66" s="114"/>
      <c r="I66" s="75"/>
      <c r="J66" s="75"/>
    </row>
    <row r="67" spans="2:10" ht="27" customHeight="1" x14ac:dyDescent="0.25">
      <c r="B67" s="14"/>
      <c r="C67" s="50"/>
      <c r="E67" s="75"/>
      <c r="F67" s="66"/>
      <c r="G67" s="113"/>
      <c r="H67" s="114"/>
      <c r="I67" s="75"/>
      <c r="J67" s="75"/>
    </row>
    <row r="69" spans="2:10" ht="27" customHeight="1" x14ac:dyDescent="0.25">
      <c r="B69" s="14"/>
      <c r="C69" s="50"/>
      <c r="E69" s="75"/>
      <c r="F69" s="66"/>
      <c r="G69" s="113"/>
      <c r="H69" s="114"/>
      <c r="I69" s="75"/>
      <c r="J69" s="75"/>
    </row>
    <row r="70" spans="2:10" ht="27" customHeight="1" thickBot="1" x14ac:dyDescent="0.3">
      <c r="B70" s="14"/>
      <c r="C70" s="50"/>
      <c r="E70" s="75"/>
      <c r="F70" s="66"/>
      <c r="G70" s="113"/>
      <c r="H70" s="114"/>
      <c r="I70" s="75"/>
      <c r="J70" s="75"/>
    </row>
    <row r="71" spans="2:10" ht="50.15" customHeight="1" thickBot="1" x14ac:dyDescent="0.3">
      <c r="C71" s="700" t="s">
        <v>779</v>
      </c>
      <c r="D71" s="701"/>
      <c r="E71" s="701"/>
      <c r="F71" s="701"/>
      <c r="G71" s="701"/>
      <c r="H71" s="704"/>
    </row>
    <row r="72" spans="2:10" ht="31.5" thickBot="1" x14ac:dyDescent="0.3">
      <c r="C72" s="115"/>
      <c r="D72" s="208" t="s">
        <v>237</v>
      </c>
      <c r="E72" s="209" t="s">
        <v>238</v>
      </c>
      <c r="F72" s="210" t="s">
        <v>239</v>
      </c>
      <c r="G72" s="211" t="s">
        <v>240</v>
      </c>
      <c r="H72" s="212" t="s">
        <v>181</v>
      </c>
    </row>
    <row r="73" spans="2:10" ht="50.15" customHeight="1" thickBot="1" x14ac:dyDescent="0.3">
      <c r="B73" s="318" t="s">
        <v>241</v>
      </c>
      <c r="C73" s="117" t="s">
        <v>242</v>
      </c>
      <c r="D73" s="213">
        <f>'De-del'!G8</f>
        <v>6.44</v>
      </c>
      <c r="E73" s="214">
        <f>'De-del'!H9</f>
        <v>6.44</v>
      </c>
      <c r="F73" s="316">
        <f>IFERROR(VLOOKUP($G$9,'De-del'!$A:$F,5,FALSE),0)</f>
        <v>0</v>
      </c>
      <c r="G73" s="316">
        <f>IFERROR(VLOOKUP($G$9,'De-del'!$A:$F,6,FALSE),0)</f>
        <v>0</v>
      </c>
      <c r="H73" s="215">
        <f>(D73*F73+E73*G73)*-1</f>
        <v>0</v>
      </c>
    </row>
    <row r="74" spans="2:10" ht="25.5" customHeight="1" thickBot="1" x14ac:dyDescent="0.3">
      <c r="B74" s="78"/>
      <c r="C74" s="116"/>
      <c r="D74" s="210" t="s">
        <v>180</v>
      </c>
      <c r="E74" s="211" t="s">
        <v>180</v>
      </c>
      <c r="F74" s="216" t="s">
        <v>243</v>
      </c>
      <c r="G74" s="211" t="s">
        <v>244</v>
      </c>
      <c r="H74" s="212" t="s">
        <v>181</v>
      </c>
    </row>
    <row r="75" spans="2:10" ht="50.15" customHeight="1" thickBot="1" x14ac:dyDescent="0.3">
      <c r="B75" s="318" t="s">
        <v>241</v>
      </c>
      <c r="C75" s="117" t="s">
        <v>245</v>
      </c>
      <c r="D75" s="217">
        <f>'De-del'!I8</f>
        <v>18.12</v>
      </c>
      <c r="E75" s="218">
        <f>'De-del'!J9</f>
        <v>18.12</v>
      </c>
      <c r="F75" s="316">
        <f>F73</f>
        <v>0</v>
      </c>
      <c r="G75" s="317">
        <f>G73</f>
        <v>0</v>
      </c>
      <c r="H75" s="215">
        <f>(D75*F75+E75*G75)*-1</f>
        <v>0</v>
      </c>
    </row>
    <row r="76" spans="2:10" ht="25.5" customHeight="1" thickBot="1" x14ac:dyDescent="0.3">
      <c r="B76" s="78"/>
      <c r="C76" s="116"/>
      <c r="D76" s="210" t="s">
        <v>180</v>
      </c>
      <c r="E76" s="211" t="s">
        <v>180</v>
      </c>
      <c r="F76" s="216" t="s">
        <v>243</v>
      </c>
      <c r="G76" s="211" t="s">
        <v>244</v>
      </c>
      <c r="H76" s="212" t="s">
        <v>181</v>
      </c>
    </row>
    <row r="77" spans="2:10" ht="50.15" customHeight="1" thickBot="1" x14ac:dyDescent="0.3">
      <c r="B77" s="318" t="s">
        <v>246</v>
      </c>
      <c r="C77" s="117" t="s">
        <v>247</v>
      </c>
      <c r="D77" s="217">
        <f>'De-del'!K8</f>
        <v>25.88</v>
      </c>
      <c r="E77" s="218">
        <f>'De-del'!L9</f>
        <v>25.88</v>
      </c>
      <c r="F77" s="316">
        <f>F73</f>
        <v>0</v>
      </c>
      <c r="G77" s="317">
        <f>G73</f>
        <v>0</v>
      </c>
      <c r="H77" s="215">
        <f>(D77*F77+E77*G77)*-1</f>
        <v>0</v>
      </c>
    </row>
    <row r="78" spans="2:10" ht="25.5" customHeight="1" thickBot="1" x14ac:dyDescent="0.3">
      <c r="B78" s="78"/>
      <c r="C78" s="116"/>
      <c r="D78" s="210" t="s">
        <v>180</v>
      </c>
      <c r="E78" s="211" t="s">
        <v>180</v>
      </c>
      <c r="F78" s="216" t="s">
        <v>243</v>
      </c>
      <c r="G78" s="211" t="s">
        <v>244</v>
      </c>
      <c r="H78" s="212" t="s">
        <v>181</v>
      </c>
    </row>
    <row r="79" spans="2:10" ht="50.15" customHeight="1" thickBot="1" x14ac:dyDescent="0.3">
      <c r="B79" s="318" t="s">
        <v>248</v>
      </c>
      <c r="C79" s="117" t="s">
        <v>249</v>
      </c>
      <c r="D79" s="217">
        <f>'De-del'!M8</f>
        <v>16.11</v>
      </c>
      <c r="E79" s="218">
        <f>'De-del'!N9</f>
        <v>16.11</v>
      </c>
      <c r="F79" s="316">
        <f>F73</f>
        <v>0</v>
      </c>
      <c r="G79" s="317">
        <f>G73</f>
        <v>0</v>
      </c>
      <c r="H79" s="215">
        <f>(D79*F79+E79*G79)*-1</f>
        <v>0</v>
      </c>
    </row>
    <row r="80" spans="2:10" ht="25.5" customHeight="1" thickBot="1" x14ac:dyDescent="0.3">
      <c r="B80" s="78"/>
      <c r="C80" s="118"/>
      <c r="D80" s="210" t="s">
        <v>180</v>
      </c>
      <c r="E80" s="211" t="s">
        <v>180</v>
      </c>
      <c r="F80" s="216" t="s">
        <v>243</v>
      </c>
      <c r="G80" s="211" t="s">
        <v>244</v>
      </c>
      <c r="H80" s="212" t="s">
        <v>181</v>
      </c>
    </row>
    <row r="81" spans="2:17" ht="50.15" customHeight="1" thickBot="1" x14ac:dyDescent="0.3">
      <c r="B81" s="318" t="s">
        <v>248</v>
      </c>
      <c r="C81" s="117" t="s">
        <v>250</v>
      </c>
      <c r="D81" s="217">
        <f>'De-del'!O8</f>
        <v>11.18</v>
      </c>
      <c r="E81" s="218">
        <f>'De-del'!P9</f>
        <v>0</v>
      </c>
      <c r="F81" s="316">
        <f>F73</f>
        <v>0</v>
      </c>
      <c r="G81" s="317">
        <v>0</v>
      </c>
      <c r="H81" s="215">
        <f>(D81*F81+E81*G81)*-1</f>
        <v>0</v>
      </c>
    </row>
    <row r="82" spans="2:17" ht="25.5" customHeight="1" thickBot="1" x14ac:dyDescent="0.3">
      <c r="B82" s="78"/>
      <c r="C82" s="115"/>
      <c r="D82" s="219"/>
      <c r="E82" s="220"/>
      <c r="F82" s="219"/>
      <c r="G82" s="220"/>
      <c r="H82" s="212" t="s">
        <v>181</v>
      </c>
    </row>
    <row r="83" spans="2:17" ht="30" customHeight="1" thickBot="1" x14ac:dyDescent="0.3">
      <c r="B83" s="318" t="s">
        <v>251</v>
      </c>
      <c r="C83" s="693" t="s">
        <v>252</v>
      </c>
      <c r="D83" s="694"/>
      <c r="E83" s="694"/>
      <c r="F83" s="694"/>
      <c r="G83" s="695"/>
      <c r="H83" s="221">
        <f>H73+H75+H77+H79+H81</f>
        <v>0</v>
      </c>
      <c r="P83" s="571"/>
      <c r="Q83" s="571"/>
    </row>
    <row r="88" spans="2:17" ht="50.15" hidden="1" customHeight="1" x14ac:dyDescent="0.25">
      <c r="C88" s="690" t="s">
        <v>253</v>
      </c>
      <c r="D88" s="691"/>
      <c r="E88" s="691"/>
      <c r="F88" s="691"/>
      <c r="G88" s="691"/>
      <c r="H88" s="692"/>
    </row>
    <row r="89" spans="2:17" ht="31.5" hidden="1" thickBot="1" x14ac:dyDescent="0.3">
      <c r="C89" s="119"/>
      <c r="D89" s="120" t="s">
        <v>237</v>
      </c>
      <c r="E89" s="121" t="s">
        <v>238</v>
      </c>
      <c r="F89" s="120" t="s">
        <v>239</v>
      </c>
      <c r="G89" s="121" t="s">
        <v>240</v>
      </c>
      <c r="H89" s="122" t="s">
        <v>181</v>
      </c>
    </row>
    <row r="90" spans="2:17" ht="50.15" hidden="1" customHeight="1" x14ac:dyDescent="0.25">
      <c r="C90" s="123" t="s">
        <v>247</v>
      </c>
      <c r="D90" s="124">
        <v>-21.14</v>
      </c>
      <c r="E90" s="125">
        <v>-21.14</v>
      </c>
      <c r="F90" s="126">
        <f>IF($H$83&gt;0,,L$21)</f>
        <v>0</v>
      </c>
      <c r="G90" s="127">
        <f>IF($H$83&gt;0,,M$21)</f>
        <v>0</v>
      </c>
      <c r="H90" s="128">
        <f>D90*F90+E90*G90</f>
        <v>0</v>
      </c>
    </row>
    <row r="91" spans="2:17" ht="25.5" hidden="1" customHeight="1" x14ac:dyDescent="0.25">
      <c r="C91" s="129"/>
      <c r="D91" s="129" t="s">
        <v>180</v>
      </c>
      <c r="E91" s="130" t="s">
        <v>180</v>
      </c>
      <c r="F91" s="131" t="s">
        <v>243</v>
      </c>
      <c r="G91" s="130" t="s">
        <v>244</v>
      </c>
      <c r="H91" s="122" t="s">
        <v>181</v>
      </c>
    </row>
    <row r="92" spans="2:17" ht="50.15" hidden="1" customHeight="1" x14ac:dyDescent="0.25">
      <c r="C92" s="123" t="s">
        <v>249</v>
      </c>
      <c r="D92" s="132">
        <v>-9.6999999999999993</v>
      </c>
      <c r="E92" s="133">
        <v>-11.93</v>
      </c>
      <c r="F92" s="126">
        <f>IF($H$83&gt;0,,L$21)</f>
        <v>0</v>
      </c>
      <c r="G92" s="127">
        <f>IF($H$83&gt;0,,M$21)</f>
        <v>0</v>
      </c>
      <c r="H92" s="128">
        <f>D92*F92+E92*G92</f>
        <v>0</v>
      </c>
    </row>
    <row r="93" spans="2:17" ht="25.5" hidden="1" customHeight="1" x14ac:dyDescent="0.25">
      <c r="C93" s="134"/>
      <c r="D93" s="129" t="s">
        <v>180</v>
      </c>
      <c r="E93" s="130" t="s">
        <v>180</v>
      </c>
      <c r="F93" s="131" t="s">
        <v>243</v>
      </c>
      <c r="G93" s="130" t="s">
        <v>244</v>
      </c>
      <c r="H93" s="122" t="s">
        <v>181</v>
      </c>
    </row>
    <row r="94" spans="2:17" ht="50.15" hidden="1" customHeight="1" x14ac:dyDescent="0.25">
      <c r="C94" s="123" t="s">
        <v>254</v>
      </c>
      <c r="D94" s="135">
        <v>-21.89</v>
      </c>
      <c r="E94" s="136">
        <v>-16.8</v>
      </c>
      <c r="F94" s="126">
        <f>IF($H$83&gt;0,,L$21)</f>
        <v>0</v>
      </c>
      <c r="G94" s="127">
        <f>IF($H$83&gt;0,,M$21)</f>
        <v>0</v>
      </c>
      <c r="H94" s="128">
        <f>D94*F94+E94*G94</f>
        <v>0</v>
      </c>
    </row>
    <row r="95" spans="2:17" ht="25.5" hidden="1" customHeight="1" x14ac:dyDescent="0.25">
      <c r="C95" s="137"/>
      <c r="D95" s="138"/>
      <c r="E95" s="139"/>
      <c r="F95" s="129"/>
      <c r="G95" s="130"/>
      <c r="H95" s="122" t="s">
        <v>181</v>
      </c>
    </row>
    <row r="96" spans="2:17" ht="25.5" hidden="1" customHeight="1" x14ac:dyDescent="0.25">
      <c r="C96" s="140" t="s">
        <v>255</v>
      </c>
      <c r="D96" s="141"/>
      <c r="E96" s="142"/>
      <c r="F96" s="141"/>
      <c r="G96" s="142"/>
      <c r="H96" s="143">
        <f>H94+H92+H90</f>
        <v>0</v>
      </c>
    </row>
    <row r="97" hidden="1" x14ac:dyDescent="0.25"/>
    <row r="132" spans="2:8" x14ac:dyDescent="0.25">
      <c r="B132" s="78"/>
      <c r="C132" s="78"/>
      <c r="D132" s="78"/>
      <c r="E132" s="78"/>
      <c r="F132" s="78"/>
      <c r="G132" s="78"/>
      <c r="H132" s="144"/>
    </row>
  </sheetData>
  <sheetProtection algorithmName="SHA-512" hashValue="58F6GI43xcnwUUKZ38QICNSa7VmzTu+Qrzk6GrF8b/SweHgbKF0/fJhoFLKlDX+QAeQyMxSKpzZbjq/IonhI0g==" saltValue="MjDOxUBKaXskvxUuPavdig==" spinCount="100000" sheet="1" autoFilter="0"/>
  <mergeCells count="36">
    <mergeCell ref="B2:B4"/>
    <mergeCell ref="B9:D10"/>
    <mergeCell ref="B11:D11"/>
    <mergeCell ref="D48:F48"/>
    <mergeCell ref="B18:B20"/>
    <mergeCell ref="D47:F47"/>
    <mergeCell ref="D46:F46"/>
    <mergeCell ref="G9:G10"/>
    <mergeCell ref="F9:F10"/>
    <mergeCell ref="E45:F45"/>
    <mergeCell ref="B38:B39"/>
    <mergeCell ref="D42:F42"/>
    <mergeCell ref="D38:F38"/>
    <mergeCell ref="B22:H22"/>
    <mergeCell ref="B27:B35"/>
    <mergeCell ref="D37:F37"/>
    <mergeCell ref="D39:F39"/>
    <mergeCell ref="D41:F41"/>
    <mergeCell ref="D40:F40"/>
    <mergeCell ref="B41:B42"/>
    <mergeCell ref="E43:F43"/>
    <mergeCell ref="E44:F44"/>
    <mergeCell ref="D49:F49"/>
    <mergeCell ref="C88:H88"/>
    <mergeCell ref="C83:G83"/>
    <mergeCell ref="D57:F57"/>
    <mergeCell ref="B59:H59"/>
    <mergeCell ref="B63:J63"/>
    <mergeCell ref="D51:F51"/>
    <mergeCell ref="D53:F53"/>
    <mergeCell ref="D50:F50"/>
    <mergeCell ref="D52:F52"/>
    <mergeCell ref="C71:H71"/>
    <mergeCell ref="I59:J59"/>
    <mergeCell ref="D54:F54"/>
    <mergeCell ref="I64:J64"/>
  </mergeCells>
  <conditionalFormatting sqref="B73">
    <cfRule type="cellIs" dxfId="30" priority="22" stopIfTrue="1" operator="equal">
      <formula>"Z01"</formula>
    </cfRule>
    <cfRule type="cellIs" dxfId="29" priority="23" stopIfTrue="1" operator="greaterThanOrEqual">
      <formula>"Z02"</formula>
    </cfRule>
    <cfRule type="cellIs" dxfId="28" priority="24" stopIfTrue="1" operator="equal">
      <formula>"B01"</formula>
    </cfRule>
  </conditionalFormatting>
  <conditionalFormatting sqref="B75">
    <cfRule type="cellIs" dxfId="27" priority="16" stopIfTrue="1" operator="equal">
      <formula>"Z01"</formula>
    </cfRule>
    <cfRule type="cellIs" dxfId="26" priority="17" stopIfTrue="1" operator="greaterThanOrEqual">
      <formula>"Z02"</formula>
    </cfRule>
    <cfRule type="cellIs" dxfId="25" priority="18" stopIfTrue="1" operator="equal">
      <formula>"B01"</formula>
    </cfRule>
  </conditionalFormatting>
  <conditionalFormatting sqref="B77">
    <cfRule type="cellIs" dxfId="24" priority="10" stopIfTrue="1" operator="equal">
      <formula>"Z01"</formula>
    </cfRule>
    <cfRule type="cellIs" dxfId="23" priority="11" stopIfTrue="1" operator="greaterThanOrEqual">
      <formula>"Z02"</formula>
    </cfRule>
    <cfRule type="cellIs" dxfId="22" priority="12" stopIfTrue="1" operator="equal">
      <formula>"B01"</formula>
    </cfRule>
  </conditionalFormatting>
  <conditionalFormatting sqref="B79">
    <cfRule type="cellIs" dxfId="21" priority="7" stopIfTrue="1" operator="equal">
      <formula>"Z01"</formula>
    </cfRule>
    <cfRule type="cellIs" dxfId="20" priority="8" stopIfTrue="1" operator="greaterThanOrEqual">
      <formula>"Z02"</formula>
    </cfRule>
    <cfRule type="cellIs" dxfId="19" priority="9" stopIfTrue="1" operator="equal">
      <formula>"B01"</formula>
    </cfRule>
  </conditionalFormatting>
  <conditionalFormatting sqref="B81">
    <cfRule type="cellIs" dxfId="18" priority="4" stopIfTrue="1" operator="equal">
      <formula>"Z01"</formula>
    </cfRule>
    <cfRule type="cellIs" dxfId="17" priority="5" stopIfTrue="1" operator="greaterThanOrEqual">
      <formula>"Z02"</formula>
    </cfRule>
    <cfRule type="cellIs" dxfId="16" priority="6" stopIfTrue="1" operator="equal">
      <formula>"B01"</formula>
    </cfRule>
  </conditionalFormatting>
  <conditionalFormatting sqref="B83">
    <cfRule type="cellIs" dxfId="15" priority="19" stopIfTrue="1" operator="equal">
      <formula>"Z01"</formula>
    </cfRule>
    <cfRule type="cellIs" dxfId="14" priority="20" stopIfTrue="1" operator="greaterThanOrEqual">
      <formula>"Z02"</formula>
    </cfRule>
    <cfRule type="cellIs" dxfId="13" priority="21" stopIfTrue="1" operator="equal">
      <formula>"B01"</formula>
    </cfRule>
  </conditionalFormatting>
  <dataValidations count="1">
    <dataValidation type="decimal" operator="greaterThanOrEqual" allowBlank="1" showInputMessage="1" showErrorMessage="1" errorTitle="Error" error="Thisfigure cannot be negative. Please provide a positive unit value." sqref="F77:G77 F92:G92 F90:G90 F81:G81 F94:G94 F75:G75 F79:G79 F73:G73" xr:uid="{00000000-0002-0000-0100-000000000000}">
      <formula1>0</formula1>
    </dataValidation>
  </dataValidations>
  <hyperlinks>
    <hyperlink ref="B2" r:id="rId1" display="mailto:schoolfinanceteam@derby.gov.uk" xr:uid="{AA6FD05B-6011-4582-9875-97EA8F6A2991}"/>
  </hyperlinks>
  <pageMargins left="0.19685039370078741" right="0.19685039370078741" top="0.15748031496062992" bottom="0.15748031496062992" header="0.31496062992125984" footer="0.31496062992125984"/>
  <pageSetup paperSize="9" scale="42" fitToHeight="0" orientation="portrait" r:id="rId2"/>
  <headerFooter>
    <oddHeader>&amp;L&amp;"arial,Bold"&amp;11&amp;K008040Classification: OFFICIAL</oddHeader>
    <oddFooter>&amp;L&amp;"arial,Bold"&amp;11&amp;K008040Classification: OFFICIAL</oddFooter>
    <evenHeader>&amp;L&amp;"arial,Bold"&amp;11&amp;K008040Classification: OFFICIAL</evenHeader>
    <evenFooter>&amp;L&amp;"arial,Bold"&amp;11&amp;K008040Classification: OFFICIAL</evenFooter>
    <firstHeader>&amp;L&amp;"arial,Bold"&amp;11&amp;K008040Classification: OFFICIAL</firstHeader>
    <firstFooter>&amp;L&amp;"arial,Bold"&amp;11&amp;K008040Classification: OFFICIAL</firstFooter>
  </headerFooter>
  <rowBreaks count="1" manualBreakCount="1">
    <brk id="70" min="1"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DF53-7656-4F36-BF74-E91FE0C45C3E}">
  <sheetPr codeName="Sheet12">
    <pageSetUpPr fitToPage="1"/>
  </sheetPr>
  <dimension ref="B1:N305"/>
  <sheetViews>
    <sheetView showGridLines="0" topLeftCell="A12" zoomScale="70" zoomScaleNormal="70" workbookViewId="0">
      <selection activeCell="C32" sqref="C32"/>
    </sheetView>
  </sheetViews>
  <sheetFormatPr defaultRowHeight="12.5" x14ac:dyDescent="0.25"/>
  <cols>
    <col min="1" max="1" width="8.26953125" customWidth="1"/>
    <col min="2" max="2" width="67.7265625" customWidth="1"/>
    <col min="3" max="3" width="35.7265625" customWidth="1"/>
    <col min="4" max="7" width="16.7265625" customWidth="1"/>
    <col min="8" max="8" width="20.7265625" customWidth="1"/>
    <col min="9" max="9" width="20.7265625" style="236" customWidth="1"/>
    <col min="10" max="10" width="12.1796875" style="236" customWidth="1"/>
    <col min="11" max="11" width="9.1796875" style="236"/>
    <col min="13" max="13" width="12.54296875" style="327" customWidth="1"/>
    <col min="14" max="14" width="9.1796875" style="327"/>
  </cols>
  <sheetData>
    <row r="1" spans="2:14" s="51" customFormat="1" ht="13" thickBot="1" x14ac:dyDescent="0.3">
      <c r="H1" s="52"/>
      <c r="I1" s="52"/>
      <c r="J1" s="52"/>
      <c r="M1" s="322"/>
      <c r="N1" s="322"/>
    </row>
    <row r="2" spans="2:14" s="51" customFormat="1" ht="22.5" customHeight="1" x14ac:dyDescent="0.25">
      <c r="B2" s="640" t="s">
        <v>153</v>
      </c>
      <c r="C2" s="46"/>
      <c r="M2" s="322"/>
      <c r="N2" s="322"/>
    </row>
    <row r="3" spans="2:14" s="51" customFormat="1" ht="20.25" customHeight="1" x14ac:dyDescent="0.25">
      <c r="B3" s="641"/>
      <c r="C3" s="52"/>
      <c r="M3" s="322"/>
      <c r="N3" s="322"/>
    </row>
    <row r="4" spans="2:14" s="51" customFormat="1" ht="21.75" customHeight="1" thickBot="1" x14ac:dyDescent="0.3">
      <c r="B4" s="642"/>
      <c r="C4" s="52"/>
      <c r="D4" s="52"/>
      <c r="E4" s="52"/>
      <c r="F4" s="52"/>
      <c r="G4" s="52"/>
      <c r="H4" s="52"/>
      <c r="I4" s="52"/>
      <c r="J4" s="52"/>
      <c r="M4" s="322"/>
      <c r="N4" s="322"/>
    </row>
    <row r="5" spans="2:14" s="51" customFormat="1" x14ac:dyDescent="0.25">
      <c r="B5" s="249"/>
      <c r="C5" s="52"/>
      <c r="D5" s="52"/>
      <c r="E5" s="52"/>
      <c r="F5" s="52"/>
      <c r="G5" s="52"/>
      <c r="H5" s="52"/>
      <c r="I5" s="52"/>
      <c r="J5" s="52"/>
      <c r="M5" s="322"/>
      <c r="N5" s="322"/>
    </row>
    <row r="6" spans="2:14" s="51" customFormat="1" x14ac:dyDescent="0.25">
      <c r="B6" s="240"/>
      <c r="C6" s="52"/>
      <c r="D6" s="52"/>
      <c r="E6" s="52"/>
      <c r="F6" s="52"/>
      <c r="G6" s="52"/>
      <c r="H6" s="52"/>
      <c r="I6" s="52"/>
      <c r="J6" s="52"/>
      <c r="M6" s="322"/>
      <c r="N6" s="322"/>
    </row>
    <row r="7" spans="2:14" s="51" customFormat="1" ht="13" thickBot="1" x14ac:dyDescent="0.3">
      <c r="H7" s="52"/>
      <c r="I7" s="52"/>
      <c r="J7" s="52"/>
      <c r="M7" s="322"/>
      <c r="N7" s="322"/>
    </row>
    <row r="8" spans="2:14" s="51" customFormat="1" ht="30" customHeight="1" thickBot="1" x14ac:dyDescent="0.3">
      <c r="B8" s="239" t="s">
        <v>801</v>
      </c>
      <c r="C8" s="329"/>
      <c r="D8" s="53"/>
      <c r="E8" s="53"/>
      <c r="F8" s="53"/>
      <c r="G8" s="53"/>
      <c r="H8" s="54"/>
      <c r="I8" s="52"/>
      <c r="J8" s="52"/>
      <c r="M8" s="322"/>
      <c r="N8" s="322"/>
    </row>
    <row r="9" spans="2:14" s="51" customFormat="1" ht="15" customHeight="1" x14ac:dyDescent="0.25">
      <c r="B9" s="55"/>
      <c r="C9" s="60"/>
      <c r="D9" s="60"/>
      <c r="E9" s="60"/>
      <c r="H9" s="295"/>
      <c r="I9" s="52"/>
      <c r="J9" s="52"/>
      <c r="M9" s="322"/>
      <c r="N9" s="322"/>
    </row>
    <row r="10" spans="2:14" s="51" customFormat="1" ht="15" customHeight="1" thickBot="1" x14ac:dyDescent="0.3">
      <c r="B10" s="55"/>
      <c r="C10" s="60"/>
      <c r="D10" s="60"/>
      <c r="E10" s="60"/>
      <c r="H10" s="295"/>
      <c r="I10" s="52"/>
      <c r="J10" s="52"/>
      <c r="K10" s="56"/>
      <c r="M10" s="322"/>
      <c r="N10" s="322"/>
    </row>
    <row r="11" spans="2:14" s="50" customFormat="1" ht="33.75" customHeight="1" x14ac:dyDescent="0.25">
      <c r="B11" s="643" t="s">
        <v>179</v>
      </c>
      <c r="C11" s="644"/>
      <c r="D11" s="645"/>
      <c r="E11" s="58"/>
      <c r="F11" s="649" t="s">
        <v>1170</v>
      </c>
      <c r="G11" s="222"/>
      <c r="H11" s="253"/>
      <c r="I11" s="58"/>
      <c r="J11" s="58"/>
      <c r="M11" s="323"/>
      <c r="N11" s="323"/>
    </row>
    <row r="12" spans="2:14" s="50" customFormat="1" ht="32.25" customHeight="1" thickBot="1" x14ac:dyDescent="0.3">
      <c r="B12" s="646"/>
      <c r="C12" s="647"/>
      <c r="D12" s="648"/>
      <c r="E12" s="58"/>
      <c r="F12" s="650"/>
      <c r="G12" s="222"/>
      <c r="H12" s="253"/>
      <c r="I12" s="58"/>
      <c r="J12" s="58"/>
      <c r="M12" s="323"/>
      <c r="N12" s="323"/>
    </row>
    <row r="13" spans="2:14" s="51" customFormat="1" ht="33" customHeight="1" thickBot="1" x14ac:dyDescent="0.3">
      <c r="B13" s="725" t="str">
        <f>IFERROR(IF(F13=12345,"",'Schools Summary'!B12),0)</f>
        <v/>
      </c>
      <c r="C13" s="726"/>
      <c r="D13" s="727"/>
      <c r="E13" s="56"/>
      <c r="F13" s="223">
        <f>IFERROR('Schools Summary'!F12,0)</f>
        <v>12345</v>
      </c>
      <c r="G13" s="224"/>
      <c r="H13" s="253"/>
      <c r="I13" s="57"/>
      <c r="J13" s="57"/>
      <c r="M13" s="322"/>
      <c r="N13" s="322"/>
    </row>
    <row r="14" spans="2:14" s="51" customFormat="1" ht="27" customHeight="1" x14ac:dyDescent="0.25">
      <c r="B14" s="59"/>
      <c r="C14" s="639"/>
      <c r="D14" s="639"/>
      <c r="E14" s="639"/>
      <c r="F14" s="56"/>
      <c r="G14" s="56"/>
      <c r="H14" s="296"/>
      <c r="I14" s="57"/>
      <c r="J14" s="57"/>
      <c r="M14" s="322"/>
      <c r="N14" s="322"/>
    </row>
    <row r="15" spans="2:14" s="51" customFormat="1" ht="27" customHeight="1" thickBot="1" x14ac:dyDescent="0.3">
      <c r="B15" s="59"/>
      <c r="C15" s="60"/>
      <c r="D15" s="60"/>
      <c r="E15" s="60"/>
      <c r="F15" s="56"/>
      <c r="G15" s="56"/>
      <c r="H15" s="297"/>
      <c r="I15" s="56"/>
      <c r="J15" s="57"/>
      <c r="M15" s="322"/>
      <c r="N15" s="322"/>
    </row>
    <row r="16" spans="2:14" s="51" customFormat="1" ht="57" customHeight="1" thickBot="1" x14ac:dyDescent="0.3">
      <c r="B16" s="654" t="s">
        <v>168</v>
      </c>
      <c r="C16" s="655"/>
      <c r="D16" s="152" t="s">
        <v>169</v>
      </c>
      <c r="E16" s="260" t="s">
        <v>798</v>
      </c>
      <c r="F16" s="260" t="s">
        <v>799</v>
      </c>
      <c r="G16" s="261" t="s">
        <v>800</v>
      </c>
      <c r="H16" s="151" t="s">
        <v>170</v>
      </c>
      <c r="I16" s="58"/>
      <c r="J16" s="61"/>
      <c r="M16" s="322"/>
      <c r="N16" s="322"/>
    </row>
    <row r="17" spans="2:14" s="51" customFormat="1" ht="35.15" customHeight="1" x14ac:dyDescent="0.25">
      <c r="B17" s="656" t="s">
        <v>1351</v>
      </c>
      <c r="C17" s="657"/>
      <c r="D17" s="298">
        <v>5.52</v>
      </c>
      <c r="E17" s="299">
        <f>IFERROR(SUMIF('3&amp;4 Yo'!$A:$A,'Early Years'!$F$13,'3&amp;4 Yo'!E:E),0)</f>
        <v>0</v>
      </c>
      <c r="F17" s="299">
        <f>IFERROR(SUMIF('3&amp;4 Yo'!$A:$A,'Early Years'!$F$13,'3&amp;4 Yo'!I:I),0)</f>
        <v>0</v>
      </c>
      <c r="G17" s="299">
        <f>IFERROR(SUMIF('3&amp;4 Yo'!$A:$A,'Early Years'!$F$13,'3&amp;4 Yo'!M:M),0)</f>
        <v>0</v>
      </c>
      <c r="H17" s="259">
        <f>SUM(E17:G17)*D17</f>
        <v>0</v>
      </c>
      <c r="I17" s="62"/>
      <c r="J17" s="63"/>
      <c r="M17" s="324"/>
      <c r="N17" s="325"/>
    </row>
    <row r="18" spans="2:14" s="51" customFormat="1" ht="35.15" customHeight="1" x14ac:dyDescent="0.25">
      <c r="B18" s="656" t="s">
        <v>1352</v>
      </c>
      <c r="C18" s="657"/>
      <c r="D18" s="298">
        <v>5.52</v>
      </c>
      <c r="E18" s="299">
        <f>IFERROR(SUMIF('3&amp;4 Yo'!$A:$A,'Early Years'!$F$13,'3&amp;4 Yo'!F:F),0)</f>
        <v>0</v>
      </c>
      <c r="F18" s="299">
        <f>IFERROR(SUMIF('3&amp;4 Yo'!$A:$A,'Early Years'!$F$13,'3&amp;4 Yo'!J:J),0)</f>
        <v>0</v>
      </c>
      <c r="G18" s="299">
        <f>IFERROR(SUMIF('3&amp;4 Yo'!$A:$A,'Early Years'!$F$13,'3&amp;4 Yo'!N:N),0)</f>
        <v>0</v>
      </c>
      <c r="H18" s="259">
        <f>SUM(E18:G18)*D18</f>
        <v>0</v>
      </c>
      <c r="I18" s="62"/>
      <c r="J18" s="63"/>
      <c r="M18" s="324"/>
      <c r="N18" s="325"/>
    </row>
    <row r="19" spans="2:14" s="51" customFormat="1" ht="35.15" customHeight="1" x14ac:dyDescent="0.25">
      <c r="B19" s="658" t="s">
        <v>1158</v>
      </c>
      <c r="C19" s="659"/>
      <c r="D19" s="255">
        <v>8.1</v>
      </c>
      <c r="E19" s="524">
        <f>_xlfn.XLOOKUP($F$13,'Additional Support 2 yo'!$B:$B,'Additional Support 2 yo'!D:D,0)</f>
        <v>0</v>
      </c>
      <c r="F19" s="524">
        <f>_xlfn.XLOOKUP($F$13,'Additional Support 2 yo'!$B:$B,'Additional Support 2 yo'!F:F,0)</f>
        <v>0</v>
      </c>
      <c r="G19" s="524">
        <f>_xlfn.XLOOKUP($F$13,'Additional Support 2 yo'!$B:$B,'Additional Support 2 yo'!H:H,0)</f>
        <v>0</v>
      </c>
      <c r="H19" s="525">
        <f>_xlfn.XLOOKUP($F$13,'Additional Support 2 yo'!$B:$B,'Additional Support 2 yo'!J:J,0)*D19</f>
        <v>0</v>
      </c>
      <c r="I19" s="62"/>
      <c r="J19" s="63"/>
      <c r="M19" s="324"/>
      <c r="N19" s="325"/>
    </row>
    <row r="20" spans="2:14" s="51" customFormat="1" ht="35.15" customHeight="1" x14ac:dyDescent="0.25">
      <c r="B20" s="658" t="s">
        <v>1157</v>
      </c>
      <c r="C20" s="659"/>
      <c r="D20" s="255">
        <v>8.1</v>
      </c>
      <c r="E20" s="524">
        <f>_xlfn.XLOOKUP($F$13,'Working 2 yo'!$B:$B,'Working 2 yo'!D:D,0)</f>
        <v>0</v>
      </c>
      <c r="F20" s="524">
        <f>_xlfn.XLOOKUP($F$13,'Working 2 yo'!$B:$B,'Working 2 yo'!F:F,0)</f>
        <v>0</v>
      </c>
      <c r="G20" s="524">
        <f>_xlfn.XLOOKUP($F$13,'Working 2 yo'!$B:$B,'Working 2 yo'!H:H,0)</f>
        <v>0</v>
      </c>
      <c r="H20" s="526">
        <f>_xlfn.XLOOKUP($F$13,'Working 2 yo'!$B:$B,'Working 2 yo'!J:J,0)*D20</f>
        <v>0</v>
      </c>
      <c r="I20" s="62"/>
      <c r="J20" s="63"/>
      <c r="M20" s="324"/>
      <c r="N20" s="325"/>
    </row>
    <row r="21" spans="2:14" s="51" customFormat="1" ht="35.15" customHeight="1" thickBot="1" x14ac:dyDescent="0.3">
      <c r="B21" s="660" t="s">
        <v>1155</v>
      </c>
      <c r="C21" s="661"/>
      <c r="D21" s="256">
        <v>11.16</v>
      </c>
      <c r="E21" s="524">
        <f>_xlfn.XLOOKUP($F$13,'Under 2s'!$B:$B,'Under 2s'!D:D,0)</f>
        <v>0</v>
      </c>
      <c r="F21" s="524">
        <f>_xlfn.XLOOKUP($F$13,'Under 2s'!$B:$B,'Under 2s'!F:F,0)</f>
        <v>0</v>
      </c>
      <c r="G21" s="524">
        <f>_xlfn.XLOOKUP($F$13,'Under 2s'!$B:$B,'Under 2s'!H:H,0)</f>
        <v>0</v>
      </c>
      <c r="H21" s="527">
        <f>_xlfn.XLOOKUP($F$13,'Under 2s'!$B:$B,'Under 2s'!J:J,0)*D21</f>
        <v>0</v>
      </c>
      <c r="I21" s="62"/>
      <c r="J21" s="63"/>
      <c r="M21" s="324"/>
      <c r="N21" s="325"/>
    </row>
    <row r="22" spans="2:14" s="51" customFormat="1" ht="50.25" customHeight="1" thickBot="1" x14ac:dyDescent="0.3">
      <c r="B22" s="679" t="s">
        <v>173</v>
      </c>
      <c r="C22" s="680"/>
      <c r="D22" s="152" t="s">
        <v>169</v>
      </c>
      <c r="E22" s="665"/>
      <c r="F22" s="666"/>
      <c r="G22" s="667"/>
      <c r="H22" s="151" t="s">
        <v>170</v>
      </c>
      <c r="I22" s="58"/>
      <c r="J22" s="58"/>
      <c r="M22" s="324"/>
      <c r="N22" s="322"/>
    </row>
    <row r="23" spans="2:14" s="51" customFormat="1" ht="35.15" customHeight="1" x14ac:dyDescent="0.25">
      <c r="B23" s="668" t="s">
        <v>174</v>
      </c>
      <c r="C23" s="669"/>
      <c r="D23" s="300">
        <v>0.6</v>
      </c>
      <c r="E23" s="670"/>
      <c r="F23" s="671"/>
      <c r="G23" s="672"/>
      <c r="H23" s="150">
        <f>IFERROR(SUMIF('3&amp;4 Yo'!$A:$A,'Early Years'!$F$13,'3&amp;4 Yo'!AB:AB),0)*D23</f>
        <v>0</v>
      </c>
      <c r="I23" s="62"/>
      <c r="J23" s="62"/>
      <c r="M23" s="324"/>
      <c r="N23" s="325"/>
    </row>
    <row r="24" spans="2:14" s="51" customFormat="1" ht="35.15" customHeight="1" x14ac:dyDescent="0.25">
      <c r="B24" s="658" t="s">
        <v>175</v>
      </c>
      <c r="C24" s="659"/>
      <c r="D24" s="257">
        <v>0.2</v>
      </c>
      <c r="E24" s="673"/>
      <c r="F24" s="674"/>
      <c r="G24" s="675"/>
      <c r="H24" s="150">
        <f>IFERROR(SUMIF('3&amp;4 Yo'!$A:$A,'Early Years'!$F$13,'3&amp;4 Yo'!AJ:AJ),0)*D24</f>
        <v>0</v>
      </c>
      <c r="I24" s="62"/>
      <c r="J24" s="62"/>
      <c r="M24" s="324"/>
      <c r="N24" s="325"/>
    </row>
    <row r="25" spans="2:14" s="51" customFormat="1" ht="35.15" customHeight="1" thickBot="1" x14ac:dyDescent="0.3">
      <c r="B25" s="660" t="s">
        <v>176</v>
      </c>
      <c r="C25" s="661"/>
      <c r="D25" s="258">
        <v>0.2</v>
      </c>
      <c r="E25" s="676"/>
      <c r="F25" s="677"/>
      <c r="G25" s="678"/>
      <c r="H25" s="150">
        <f>IFERROR(SUMIF('3&amp;4 Yo'!$A:$A,'Early Years'!$F$13,'3&amp;4 Yo'!AU:AU),0)*D25</f>
        <v>0</v>
      </c>
      <c r="I25" s="62"/>
      <c r="J25" s="62"/>
      <c r="M25" s="324"/>
      <c r="N25" s="325"/>
    </row>
    <row r="26" spans="2:14" s="51" customFormat="1" ht="47.25" customHeight="1" thickBot="1" x14ac:dyDescent="0.3">
      <c r="B26" s="64" t="s">
        <v>256</v>
      </c>
      <c r="C26" s="152" t="s">
        <v>257</v>
      </c>
      <c r="D26" s="152" t="s">
        <v>258</v>
      </c>
      <c r="E26" s="732"/>
      <c r="F26" s="733"/>
      <c r="G26" s="734"/>
      <c r="H26" s="151" t="s">
        <v>170</v>
      </c>
      <c r="I26" s="229"/>
      <c r="J26" s="229"/>
      <c r="M26" s="324"/>
      <c r="N26" s="325"/>
    </row>
    <row r="27" spans="2:14" s="51" customFormat="1" ht="35.15" customHeight="1" x14ac:dyDescent="0.25">
      <c r="B27" s="65" t="s">
        <v>259</v>
      </c>
      <c r="C27" s="226">
        <v>100000</v>
      </c>
      <c r="D27" s="225" t="s">
        <v>260</v>
      </c>
      <c r="E27" s="254"/>
      <c r="F27" s="281"/>
      <c r="G27" s="282"/>
      <c r="H27" s="150">
        <f>IFERROR(SUMIF('3&amp;4 Yo'!A:A,'Early Years'!F13,'3&amp;4 Yo'!AX:AX),0)</f>
        <v>0</v>
      </c>
      <c r="I27" s="229"/>
      <c r="J27" s="229"/>
      <c r="M27" s="324"/>
      <c r="N27" s="325"/>
    </row>
    <row r="28" spans="2:14" s="51" customFormat="1" ht="35.15" customHeight="1" thickBot="1" x14ac:dyDescent="0.3">
      <c r="B28" s="597" t="s">
        <v>261</v>
      </c>
      <c r="C28" s="598">
        <v>4.04</v>
      </c>
      <c r="D28" s="599" t="s">
        <v>262</v>
      </c>
      <c r="E28" s="600">
        <f>IFERROR(SUMIF('3&amp;4 Yo'!$A$5:$A$12,'Early Years'!$F$13,'3&amp;4 Yo'!E5:E12),0)</f>
        <v>0</v>
      </c>
      <c r="F28" s="600">
        <f>IFERROR(SUMIF('3&amp;4 Yo'!$A5:$A12,'Early Years'!$F$13,'3&amp;4 Yo'!I5:I12),0)</f>
        <v>0</v>
      </c>
      <c r="G28" s="600">
        <f>IFERROR(SUMIF('3&amp;4 Yo'!$A5:$A12,'Early Years'!$F$13,'3&amp;4 Yo'!M5:M12),0)</f>
        <v>0</v>
      </c>
      <c r="H28" s="283">
        <f>SUM(E28:G28)*C28</f>
        <v>0</v>
      </c>
      <c r="I28" s="229"/>
      <c r="J28" s="286"/>
      <c r="M28" s="324"/>
      <c r="N28" s="325"/>
    </row>
    <row r="29" spans="2:14" s="51" customFormat="1" ht="35.15" customHeight="1" thickBot="1" x14ac:dyDescent="0.3">
      <c r="B29" s="16" t="s">
        <v>177</v>
      </c>
      <c r="C29" s="67"/>
      <c r="D29" s="68"/>
      <c r="E29" s="68"/>
      <c r="F29" s="68"/>
      <c r="G29" s="601"/>
      <c r="H29" s="235">
        <f>SUM(H17:H28)</f>
        <v>0</v>
      </c>
      <c r="I29" s="229"/>
      <c r="J29" s="233"/>
      <c r="M29" s="324"/>
      <c r="N29" s="325"/>
    </row>
    <row r="30" spans="2:14" s="51" customFormat="1" ht="37.5" customHeight="1" thickBot="1" x14ac:dyDescent="0.3">
      <c r="B30" s="729" t="s">
        <v>178</v>
      </c>
      <c r="C30" s="730"/>
      <c r="D30" s="730"/>
      <c r="E30" s="730"/>
      <c r="F30" s="730"/>
      <c r="G30" s="730"/>
      <c r="H30" s="731"/>
      <c r="I30" s="52"/>
      <c r="J30" s="52"/>
      <c r="M30" s="322"/>
      <c r="N30" s="322"/>
    </row>
    <row r="31" spans="2:14" s="51" customFormat="1" ht="27" customHeight="1" x14ac:dyDescent="0.25">
      <c r="B31" s="71" t="s">
        <v>1156</v>
      </c>
      <c r="C31" s="71"/>
      <c r="D31" s="71"/>
      <c r="E31" s="71"/>
      <c r="F31" s="71"/>
      <c r="G31" s="71"/>
      <c r="H31" s="71"/>
      <c r="I31" s="52"/>
      <c r="J31" s="52"/>
      <c r="M31" s="322"/>
      <c r="N31" s="322"/>
    </row>
    <row r="32" spans="2:14" s="51" customFormat="1" ht="27" customHeight="1" x14ac:dyDescent="0.25">
      <c r="B32" s="72"/>
      <c r="C32" s="72"/>
      <c r="D32" s="72"/>
      <c r="E32" s="72"/>
      <c r="F32" s="72"/>
      <c r="G32" s="72"/>
      <c r="H32" s="72"/>
      <c r="I32" s="52"/>
      <c r="J32" s="52"/>
      <c r="M32" s="322"/>
      <c r="N32" s="322"/>
    </row>
    <row r="33" spans="2:14" s="51" customFormat="1" ht="27" customHeight="1" x14ac:dyDescent="0.25">
      <c r="B33" s="72"/>
      <c r="C33" s="72"/>
      <c r="D33" s="72"/>
      <c r="E33" s="72"/>
      <c r="F33" s="72"/>
      <c r="G33" s="72"/>
      <c r="H33" s="72"/>
      <c r="I33" s="52"/>
      <c r="J33" s="52"/>
      <c r="M33" s="322"/>
      <c r="N33" s="322"/>
    </row>
    <row r="34" spans="2:14" s="51" customFormat="1" ht="27" customHeight="1" x14ac:dyDescent="0.25">
      <c r="B34" s="72"/>
      <c r="C34" s="72"/>
      <c r="D34" s="72"/>
      <c r="E34" s="72"/>
      <c r="F34" s="72"/>
      <c r="G34" s="72"/>
      <c r="H34" s="72"/>
      <c r="I34" s="52"/>
      <c r="J34" s="52"/>
      <c r="M34" s="322"/>
      <c r="N34" s="322"/>
    </row>
    <row r="35" spans="2:14" s="236" customFormat="1" x14ac:dyDescent="0.25">
      <c r="M35" s="326"/>
      <c r="N35" s="326"/>
    </row>
    <row r="36" spans="2:14" s="236" customFormat="1" x14ac:dyDescent="0.25">
      <c r="M36" s="326"/>
      <c r="N36" s="326"/>
    </row>
    <row r="37" spans="2:14" s="236" customFormat="1" x14ac:dyDescent="0.25">
      <c r="M37" s="326"/>
      <c r="N37" s="326"/>
    </row>
    <row r="38" spans="2:14" s="236" customFormat="1" x14ac:dyDescent="0.25">
      <c r="M38" s="326"/>
      <c r="N38" s="326"/>
    </row>
    <row r="39" spans="2:14" s="236" customFormat="1" x14ac:dyDescent="0.25">
      <c r="M39" s="326"/>
      <c r="N39" s="326"/>
    </row>
    <row r="40" spans="2:14" s="236" customFormat="1" x14ac:dyDescent="0.25">
      <c r="M40" s="326"/>
      <c r="N40" s="326"/>
    </row>
    <row r="41" spans="2:14" s="236" customFormat="1" x14ac:dyDescent="0.25">
      <c r="M41" s="326"/>
      <c r="N41" s="326"/>
    </row>
    <row r="42" spans="2:14" s="236" customFormat="1" x14ac:dyDescent="0.25">
      <c r="M42" s="326"/>
      <c r="N42" s="326"/>
    </row>
    <row r="43" spans="2:14" s="236" customFormat="1" x14ac:dyDescent="0.25">
      <c r="M43" s="326"/>
      <c r="N43" s="326"/>
    </row>
    <row r="44" spans="2:14" s="236" customFormat="1" x14ac:dyDescent="0.25">
      <c r="M44" s="326"/>
      <c r="N44" s="326"/>
    </row>
    <row r="45" spans="2:14" s="236" customFormat="1" x14ac:dyDescent="0.25">
      <c r="M45" s="326"/>
      <c r="N45" s="326"/>
    </row>
    <row r="46" spans="2:14" s="236" customFormat="1" x14ac:dyDescent="0.25">
      <c r="M46" s="326"/>
      <c r="N46" s="326"/>
    </row>
    <row r="47" spans="2:14" s="236" customFormat="1" x14ac:dyDescent="0.25">
      <c r="M47" s="326"/>
      <c r="N47" s="326"/>
    </row>
    <row r="48" spans="2:14" s="236" customFormat="1" x14ac:dyDescent="0.25">
      <c r="M48" s="326"/>
      <c r="N48" s="326"/>
    </row>
    <row r="49" spans="13:14" s="236" customFormat="1" x14ac:dyDescent="0.25">
      <c r="M49" s="326"/>
      <c r="N49" s="326"/>
    </row>
    <row r="50" spans="13:14" s="236" customFormat="1" x14ac:dyDescent="0.25">
      <c r="M50" s="326"/>
      <c r="N50" s="326"/>
    </row>
    <row r="51" spans="13:14" s="236" customFormat="1" x14ac:dyDescent="0.25">
      <c r="M51" s="326"/>
      <c r="N51" s="326"/>
    </row>
    <row r="52" spans="13:14" s="236" customFormat="1" x14ac:dyDescent="0.25">
      <c r="M52" s="326"/>
      <c r="N52" s="326"/>
    </row>
    <row r="53" spans="13:14" s="236" customFormat="1" x14ac:dyDescent="0.25">
      <c r="M53" s="326"/>
      <c r="N53" s="326"/>
    </row>
    <row r="54" spans="13:14" s="236" customFormat="1" x14ac:dyDescent="0.25">
      <c r="M54" s="326"/>
      <c r="N54" s="326"/>
    </row>
    <row r="55" spans="13:14" s="236" customFormat="1" x14ac:dyDescent="0.25">
      <c r="M55" s="326"/>
      <c r="N55" s="326"/>
    </row>
    <row r="56" spans="13:14" s="236" customFormat="1" x14ac:dyDescent="0.25">
      <c r="M56" s="326"/>
      <c r="N56" s="326"/>
    </row>
    <row r="57" spans="13:14" s="236" customFormat="1" x14ac:dyDescent="0.25">
      <c r="M57" s="326"/>
      <c r="N57" s="326"/>
    </row>
    <row r="58" spans="13:14" s="236" customFormat="1" x14ac:dyDescent="0.25">
      <c r="M58" s="326"/>
      <c r="N58" s="326"/>
    </row>
    <row r="59" spans="13:14" s="236" customFormat="1" x14ac:dyDescent="0.25">
      <c r="M59" s="326"/>
      <c r="N59" s="326"/>
    </row>
    <row r="60" spans="13:14" s="236" customFormat="1" x14ac:dyDescent="0.25">
      <c r="M60" s="326"/>
      <c r="N60" s="326"/>
    </row>
    <row r="61" spans="13:14" s="236" customFormat="1" x14ac:dyDescent="0.25">
      <c r="M61" s="326"/>
      <c r="N61" s="326"/>
    </row>
    <row r="62" spans="13:14" s="236" customFormat="1" x14ac:dyDescent="0.25">
      <c r="M62" s="326"/>
      <c r="N62" s="326"/>
    </row>
    <row r="63" spans="13:14" s="236" customFormat="1" x14ac:dyDescent="0.25">
      <c r="M63" s="326"/>
      <c r="N63" s="326"/>
    </row>
    <row r="64" spans="13:14" s="236" customFormat="1" x14ac:dyDescent="0.25">
      <c r="M64" s="326"/>
      <c r="N64" s="326"/>
    </row>
    <row r="65" spans="13:14" s="236" customFormat="1" x14ac:dyDescent="0.25">
      <c r="M65" s="326"/>
      <c r="N65" s="326"/>
    </row>
    <row r="66" spans="13:14" s="236" customFormat="1" x14ac:dyDescent="0.25">
      <c r="M66" s="326"/>
      <c r="N66" s="326"/>
    </row>
    <row r="67" spans="13:14" s="236" customFormat="1" x14ac:dyDescent="0.25">
      <c r="M67" s="326"/>
      <c r="N67" s="326"/>
    </row>
    <row r="68" spans="13:14" s="236" customFormat="1" x14ac:dyDescent="0.25">
      <c r="M68" s="326"/>
      <c r="N68" s="326"/>
    </row>
    <row r="69" spans="13:14" s="236" customFormat="1" x14ac:dyDescent="0.25">
      <c r="M69" s="326"/>
      <c r="N69" s="326"/>
    </row>
    <row r="70" spans="13:14" s="236" customFormat="1" x14ac:dyDescent="0.25">
      <c r="M70" s="326"/>
      <c r="N70" s="326"/>
    </row>
    <row r="71" spans="13:14" s="236" customFormat="1" x14ac:dyDescent="0.25">
      <c r="M71" s="326"/>
      <c r="N71" s="326"/>
    </row>
    <row r="72" spans="13:14" s="236" customFormat="1" x14ac:dyDescent="0.25">
      <c r="M72" s="326"/>
      <c r="N72" s="326"/>
    </row>
    <row r="73" spans="13:14" s="236" customFormat="1" x14ac:dyDescent="0.25">
      <c r="M73" s="326"/>
      <c r="N73" s="326"/>
    </row>
    <row r="74" spans="13:14" s="236" customFormat="1" x14ac:dyDescent="0.25">
      <c r="M74" s="326"/>
      <c r="N74" s="326"/>
    </row>
    <row r="75" spans="13:14" s="236" customFormat="1" x14ac:dyDescent="0.25">
      <c r="M75" s="326"/>
      <c r="N75" s="326"/>
    </row>
    <row r="76" spans="13:14" s="236" customFormat="1" x14ac:dyDescent="0.25">
      <c r="M76" s="326"/>
      <c r="N76" s="326"/>
    </row>
    <row r="77" spans="13:14" s="236" customFormat="1" x14ac:dyDescent="0.25">
      <c r="M77" s="326"/>
      <c r="N77" s="326"/>
    </row>
    <row r="78" spans="13:14" s="236" customFormat="1" x14ac:dyDescent="0.25">
      <c r="M78" s="326"/>
      <c r="N78" s="326"/>
    </row>
    <row r="79" spans="13:14" s="236" customFormat="1" x14ac:dyDescent="0.25">
      <c r="M79" s="326"/>
      <c r="N79" s="326"/>
    </row>
    <row r="80" spans="13:14" s="236" customFormat="1" x14ac:dyDescent="0.25">
      <c r="M80" s="326"/>
      <c r="N80" s="326"/>
    </row>
    <row r="81" spans="13:14" s="236" customFormat="1" x14ac:dyDescent="0.25">
      <c r="M81" s="326"/>
      <c r="N81" s="326"/>
    </row>
    <row r="82" spans="13:14" s="236" customFormat="1" x14ac:dyDescent="0.25">
      <c r="M82" s="326"/>
      <c r="N82" s="326"/>
    </row>
    <row r="83" spans="13:14" s="236" customFormat="1" x14ac:dyDescent="0.25">
      <c r="M83" s="326"/>
      <c r="N83" s="326"/>
    </row>
    <row r="84" spans="13:14" s="236" customFormat="1" x14ac:dyDescent="0.25">
      <c r="M84" s="326"/>
      <c r="N84" s="326"/>
    </row>
    <row r="85" spans="13:14" s="236" customFormat="1" x14ac:dyDescent="0.25">
      <c r="M85" s="326"/>
      <c r="N85" s="326"/>
    </row>
    <row r="86" spans="13:14" s="236" customFormat="1" x14ac:dyDescent="0.25">
      <c r="M86" s="326"/>
      <c r="N86" s="326"/>
    </row>
    <row r="87" spans="13:14" s="236" customFormat="1" x14ac:dyDescent="0.25">
      <c r="M87" s="326"/>
      <c r="N87" s="326"/>
    </row>
    <row r="88" spans="13:14" s="236" customFormat="1" x14ac:dyDescent="0.25">
      <c r="M88" s="326"/>
      <c r="N88" s="326"/>
    </row>
    <row r="89" spans="13:14" s="236" customFormat="1" x14ac:dyDescent="0.25">
      <c r="M89" s="326"/>
      <c r="N89" s="326"/>
    </row>
    <row r="90" spans="13:14" s="236" customFormat="1" x14ac:dyDescent="0.25">
      <c r="M90" s="326"/>
      <c r="N90" s="326"/>
    </row>
    <row r="91" spans="13:14" s="236" customFormat="1" x14ac:dyDescent="0.25">
      <c r="M91" s="326"/>
      <c r="N91" s="326"/>
    </row>
    <row r="92" spans="13:14" s="236" customFormat="1" x14ac:dyDescent="0.25">
      <c r="M92" s="326"/>
      <c r="N92" s="326"/>
    </row>
    <row r="93" spans="13:14" s="236" customFormat="1" x14ac:dyDescent="0.25">
      <c r="M93" s="326"/>
      <c r="N93" s="326"/>
    </row>
    <row r="94" spans="13:14" s="236" customFormat="1" x14ac:dyDescent="0.25">
      <c r="M94" s="326"/>
      <c r="N94" s="326"/>
    </row>
    <row r="95" spans="13:14" s="236" customFormat="1" x14ac:dyDescent="0.25">
      <c r="M95" s="326"/>
      <c r="N95" s="326"/>
    </row>
    <row r="96" spans="13:14" s="236" customFormat="1" x14ac:dyDescent="0.25">
      <c r="M96" s="326"/>
      <c r="N96" s="326"/>
    </row>
    <row r="97" spans="13:14" s="236" customFormat="1" x14ac:dyDescent="0.25">
      <c r="M97" s="326"/>
      <c r="N97" s="326"/>
    </row>
    <row r="98" spans="13:14" s="236" customFormat="1" x14ac:dyDescent="0.25">
      <c r="M98" s="326"/>
      <c r="N98" s="326"/>
    </row>
    <row r="99" spans="13:14" s="236" customFormat="1" x14ac:dyDescent="0.25">
      <c r="M99" s="326"/>
      <c r="N99" s="326"/>
    </row>
    <row r="100" spans="13:14" s="236" customFormat="1" x14ac:dyDescent="0.25">
      <c r="M100" s="326"/>
      <c r="N100" s="326"/>
    </row>
    <row r="101" spans="13:14" s="236" customFormat="1" x14ac:dyDescent="0.25">
      <c r="M101" s="326"/>
      <c r="N101" s="326"/>
    </row>
    <row r="102" spans="13:14" s="236" customFormat="1" x14ac:dyDescent="0.25">
      <c r="M102" s="326"/>
      <c r="N102" s="326"/>
    </row>
    <row r="103" spans="13:14" s="236" customFormat="1" x14ac:dyDescent="0.25">
      <c r="M103" s="326"/>
      <c r="N103" s="326"/>
    </row>
    <row r="104" spans="13:14" s="236" customFormat="1" x14ac:dyDescent="0.25">
      <c r="M104" s="326"/>
      <c r="N104" s="326"/>
    </row>
    <row r="105" spans="13:14" s="236" customFormat="1" x14ac:dyDescent="0.25">
      <c r="M105" s="326"/>
      <c r="N105" s="326"/>
    </row>
    <row r="106" spans="13:14" s="236" customFormat="1" x14ac:dyDescent="0.25">
      <c r="M106" s="326"/>
      <c r="N106" s="326"/>
    </row>
    <row r="107" spans="13:14" s="236" customFormat="1" x14ac:dyDescent="0.25">
      <c r="M107" s="326"/>
      <c r="N107" s="326"/>
    </row>
    <row r="108" spans="13:14" s="236" customFormat="1" x14ac:dyDescent="0.25">
      <c r="M108" s="326"/>
      <c r="N108" s="326"/>
    </row>
    <row r="109" spans="13:14" s="236" customFormat="1" x14ac:dyDescent="0.25">
      <c r="M109" s="326"/>
      <c r="N109" s="326"/>
    </row>
    <row r="110" spans="13:14" s="236" customFormat="1" x14ac:dyDescent="0.25">
      <c r="M110" s="326"/>
      <c r="N110" s="326"/>
    </row>
    <row r="111" spans="13:14" s="236" customFormat="1" x14ac:dyDescent="0.25">
      <c r="M111" s="326"/>
      <c r="N111" s="326"/>
    </row>
    <row r="112" spans="13:14" s="236" customFormat="1" x14ac:dyDescent="0.25">
      <c r="M112" s="326"/>
      <c r="N112" s="326"/>
    </row>
    <row r="113" spans="13:14" s="236" customFormat="1" x14ac:dyDescent="0.25">
      <c r="M113" s="326"/>
      <c r="N113" s="326"/>
    </row>
    <row r="114" spans="13:14" s="236" customFormat="1" x14ac:dyDescent="0.25">
      <c r="M114" s="326"/>
      <c r="N114" s="326"/>
    </row>
    <row r="115" spans="13:14" s="236" customFormat="1" x14ac:dyDescent="0.25">
      <c r="M115" s="326"/>
      <c r="N115" s="326"/>
    </row>
    <row r="116" spans="13:14" s="236" customFormat="1" x14ac:dyDescent="0.25">
      <c r="M116" s="326"/>
      <c r="N116" s="326"/>
    </row>
    <row r="117" spans="13:14" s="236" customFormat="1" x14ac:dyDescent="0.25">
      <c r="M117" s="326"/>
      <c r="N117" s="326"/>
    </row>
    <row r="118" spans="13:14" s="236" customFormat="1" x14ac:dyDescent="0.25">
      <c r="M118" s="326"/>
      <c r="N118" s="326"/>
    </row>
    <row r="119" spans="13:14" s="236" customFormat="1" x14ac:dyDescent="0.25">
      <c r="M119" s="326"/>
      <c r="N119" s="326"/>
    </row>
    <row r="120" spans="13:14" s="236" customFormat="1" x14ac:dyDescent="0.25">
      <c r="M120" s="326"/>
      <c r="N120" s="326"/>
    </row>
    <row r="121" spans="13:14" s="236" customFormat="1" x14ac:dyDescent="0.25">
      <c r="M121" s="326"/>
      <c r="N121" s="326"/>
    </row>
    <row r="122" spans="13:14" s="236" customFormat="1" x14ac:dyDescent="0.25">
      <c r="M122" s="326"/>
      <c r="N122" s="326"/>
    </row>
    <row r="123" spans="13:14" s="236" customFormat="1" x14ac:dyDescent="0.25">
      <c r="M123" s="326"/>
      <c r="N123" s="326"/>
    </row>
    <row r="124" spans="13:14" s="236" customFormat="1" x14ac:dyDescent="0.25">
      <c r="M124" s="326"/>
      <c r="N124" s="326"/>
    </row>
    <row r="125" spans="13:14" s="236" customFormat="1" x14ac:dyDescent="0.25">
      <c r="M125" s="326"/>
      <c r="N125" s="326"/>
    </row>
    <row r="126" spans="13:14" s="236" customFormat="1" x14ac:dyDescent="0.25">
      <c r="M126" s="326"/>
      <c r="N126" s="326"/>
    </row>
    <row r="127" spans="13:14" s="236" customFormat="1" x14ac:dyDescent="0.25">
      <c r="M127" s="326"/>
      <c r="N127" s="326"/>
    </row>
    <row r="128" spans="13:14" s="236" customFormat="1" x14ac:dyDescent="0.25">
      <c r="M128" s="326"/>
      <c r="N128" s="326"/>
    </row>
    <row r="129" spans="13:14" s="236" customFormat="1" x14ac:dyDescent="0.25">
      <c r="M129" s="326"/>
      <c r="N129" s="326"/>
    </row>
    <row r="130" spans="13:14" s="236" customFormat="1" x14ac:dyDescent="0.25">
      <c r="M130" s="326"/>
      <c r="N130" s="326"/>
    </row>
    <row r="131" spans="13:14" s="236" customFormat="1" x14ac:dyDescent="0.25">
      <c r="M131" s="326"/>
      <c r="N131" s="326"/>
    </row>
    <row r="132" spans="13:14" s="236" customFormat="1" x14ac:dyDescent="0.25">
      <c r="M132" s="326"/>
      <c r="N132" s="326"/>
    </row>
    <row r="133" spans="13:14" s="236" customFormat="1" x14ac:dyDescent="0.25">
      <c r="M133" s="326"/>
      <c r="N133" s="326"/>
    </row>
    <row r="134" spans="13:14" s="236" customFormat="1" x14ac:dyDescent="0.25">
      <c r="M134" s="326"/>
      <c r="N134" s="326"/>
    </row>
    <row r="135" spans="13:14" s="236" customFormat="1" x14ac:dyDescent="0.25">
      <c r="M135" s="326"/>
      <c r="N135" s="326"/>
    </row>
    <row r="136" spans="13:14" s="236" customFormat="1" x14ac:dyDescent="0.25">
      <c r="M136" s="326"/>
      <c r="N136" s="326"/>
    </row>
    <row r="137" spans="13:14" s="236" customFormat="1" x14ac:dyDescent="0.25">
      <c r="M137" s="326"/>
      <c r="N137" s="326"/>
    </row>
    <row r="138" spans="13:14" s="236" customFormat="1" x14ac:dyDescent="0.25">
      <c r="M138" s="326"/>
      <c r="N138" s="326"/>
    </row>
    <row r="139" spans="13:14" s="236" customFormat="1" x14ac:dyDescent="0.25">
      <c r="M139" s="326"/>
      <c r="N139" s="326"/>
    </row>
    <row r="140" spans="13:14" s="236" customFormat="1" x14ac:dyDescent="0.25">
      <c r="M140" s="326"/>
      <c r="N140" s="326"/>
    </row>
    <row r="141" spans="13:14" s="236" customFormat="1" x14ac:dyDescent="0.25">
      <c r="M141" s="326"/>
      <c r="N141" s="326"/>
    </row>
    <row r="142" spans="13:14" s="236" customFormat="1" x14ac:dyDescent="0.25">
      <c r="M142" s="326"/>
      <c r="N142" s="326"/>
    </row>
    <row r="143" spans="13:14" s="236" customFormat="1" x14ac:dyDescent="0.25">
      <c r="M143" s="326"/>
      <c r="N143" s="326"/>
    </row>
    <row r="144" spans="13:14" s="236" customFormat="1" x14ac:dyDescent="0.25">
      <c r="M144" s="326"/>
      <c r="N144" s="326"/>
    </row>
    <row r="145" spans="13:14" s="236" customFormat="1" x14ac:dyDescent="0.25">
      <c r="M145" s="326"/>
      <c r="N145" s="326"/>
    </row>
    <row r="146" spans="13:14" s="236" customFormat="1" x14ac:dyDescent="0.25">
      <c r="M146" s="326"/>
      <c r="N146" s="326"/>
    </row>
    <row r="147" spans="13:14" s="236" customFormat="1" x14ac:dyDescent="0.25">
      <c r="M147" s="326"/>
      <c r="N147" s="326"/>
    </row>
    <row r="148" spans="13:14" s="236" customFormat="1" x14ac:dyDescent="0.25">
      <c r="M148" s="326"/>
      <c r="N148" s="326"/>
    </row>
    <row r="149" spans="13:14" s="236" customFormat="1" x14ac:dyDescent="0.25">
      <c r="M149" s="326"/>
      <c r="N149" s="326"/>
    </row>
    <row r="150" spans="13:14" s="236" customFormat="1" x14ac:dyDescent="0.25">
      <c r="M150" s="326"/>
      <c r="N150" s="326"/>
    </row>
    <row r="151" spans="13:14" s="236" customFormat="1" x14ac:dyDescent="0.25">
      <c r="M151" s="326"/>
      <c r="N151" s="326"/>
    </row>
    <row r="152" spans="13:14" s="236" customFormat="1" x14ac:dyDescent="0.25">
      <c r="M152" s="326"/>
      <c r="N152" s="326"/>
    </row>
    <row r="153" spans="13:14" s="236" customFormat="1" x14ac:dyDescent="0.25">
      <c r="M153" s="326"/>
      <c r="N153" s="326"/>
    </row>
    <row r="154" spans="13:14" s="236" customFormat="1" x14ac:dyDescent="0.25">
      <c r="M154" s="326"/>
      <c r="N154" s="326"/>
    </row>
    <row r="155" spans="13:14" s="236" customFormat="1" x14ac:dyDescent="0.25">
      <c r="M155" s="326"/>
      <c r="N155" s="326"/>
    </row>
    <row r="156" spans="13:14" s="236" customFormat="1" x14ac:dyDescent="0.25">
      <c r="M156" s="326"/>
      <c r="N156" s="326"/>
    </row>
    <row r="157" spans="13:14" s="236" customFormat="1" x14ac:dyDescent="0.25">
      <c r="M157" s="326"/>
      <c r="N157" s="326"/>
    </row>
    <row r="158" spans="13:14" s="236" customFormat="1" x14ac:dyDescent="0.25">
      <c r="M158" s="326"/>
      <c r="N158" s="326"/>
    </row>
    <row r="159" spans="13:14" s="236" customFormat="1" x14ac:dyDescent="0.25">
      <c r="M159" s="326"/>
      <c r="N159" s="326"/>
    </row>
    <row r="160" spans="13:14" s="236" customFormat="1" x14ac:dyDescent="0.25">
      <c r="M160" s="326"/>
      <c r="N160" s="326"/>
    </row>
    <row r="161" spans="13:14" s="236" customFormat="1" x14ac:dyDescent="0.25">
      <c r="M161" s="326"/>
      <c r="N161" s="326"/>
    </row>
    <row r="162" spans="13:14" s="236" customFormat="1" x14ac:dyDescent="0.25">
      <c r="M162" s="326"/>
      <c r="N162" s="326"/>
    </row>
    <row r="163" spans="13:14" s="236" customFormat="1" x14ac:dyDescent="0.25">
      <c r="M163" s="326"/>
      <c r="N163" s="326"/>
    </row>
    <row r="164" spans="13:14" s="236" customFormat="1" x14ac:dyDescent="0.25">
      <c r="M164" s="326"/>
      <c r="N164" s="326"/>
    </row>
    <row r="165" spans="13:14" s="236" customFormat="1" x14ac:dyDescent="0.25">
      <c r="M165" s="326"/>
      <c r="N165" s="326"/>
    </row>
    <row r="166" spans="13:14" s="236" customFormat="1" x14ac:dyDescent="0.25">
      <c r="M166" s="326"/>
      <c r="N166" s="326"/>
    </row>
    <row r="167" spans="13:14" s="236" customFormat="1" x14ac:dyDescent="0.25">
      <c r="M167" s="326"/>
      <c r="N167" s="326"/>
    </row>
    <row r="168" spans="13:14" s="236" customFormat="1" x14ac:dyDescent="0.25">
      <c r="M168" s="326"/>
      <c r="N168" s="326"/>
    </row>
    <row r="169" spans="13:14" s="236" customFormat="1" x14ac:dyDescent="0.25">
      <c r="M169" s="326"/>
      <c r="N169" s="326"/>
    </row>
    <row r="170" spans="13:14" s="236" customFormat="1" x14ac:dyDescent="0.25">
      <c r="M170" s="326"/>
      <c r="N170" s="326"/>
    </row>
    <row r="171" spans="13:14" s="236" customFormat="1" x14ac:dyDescent="0.25">
      <c r="M171" s="326"/>
      <c r="N171" s="326"/>
    </row>
    <row r="172" spans="13:14" s="236" customFormat="1" x14ac:dyDescent="0.25">
      <c r="M172" s="326"/>
      <c r="N172" s="326"/>
    </row>
    <row r="173" spans="13:14" s="236" customFormat="1" x14ac:dyDescent="0.25">
      <c r="M173" s="326"/>
      <c r="N173" s="326"/>
    </row>
    <row r="174" spans="13:14" s="236" customFormat="1" x14ac:dyDescent="0.25">
      <c r="M174" s="326"/>
      <c r="N174" s="326"/>
    </row>
    <row r="175" spans="13:14" s="236" customFormat="1" x14ac:dyDescent="0.25">
      <c r="M175" s="326"/>
      <c r="N175" s="326"/>
    </row>
    <row r="176" spans="13:14" s="236" customFormat="1" x14ac:dyDescent="0.25">
      <c r="M176" s="326"/>
      <c r="N176" s="326"/>
    </row>
    <row r="177" spans="13:14" s="236" customFormat="1" x14ac:dyDescent="0.25">
      <c r="M177" s="326"/>
      <c r="N177" s="326"/>
    </row>
    <row r="178" spans="13:14" s="236" customFormat="1" x14ac:dyDescent="0.25">
      <c r="M178" s="326"/>
      <c r="N178" s="326"/>
    </row>
    <row r="179" spans="13:14" s="236" customFormat="1" x14ac:dyDescent="0.25">
      <c r="M179" s="326"/>
      <c r="N179" s="326"/>
    </row>
    <row r="180" spans="13:14" s="236" customFormat="1" x14ac:dyDescent="0.25">
      <c r="M180" s="326"/>
      <c r="N180" s="326"/>
    </row>
    <row r="181" spans="13:14" s="236" customFormat="1" x14ac:dyDescent="0.25">
      <c r="M181" s="326"/>
      <c r="N181" s="326"/>
    </row>
    <row r="182" spans="13:14" s="236" customFormat="1" x14ac:dyDescent="0.25">
      <c r="M182" s="326"/>
      <c r="N182" s="326"/>
    </row>
    <row r="183" spans="13:14" s="236" customFormat="1" x14ac:dyDescent="0.25">
      <c r="M183" s="326"/>
      <c r="N183" s="326"/>
    </row>
    <row r="184" spans="13:14" s="236" customFormat="1" x14ac:dyDescent="0.25">
      <c r="M184" s="326"/>
      <c r="N184" s="326"/>
    </row>
    <row r="185" spans="13:14" s="236" customFormat="1" x14ac:dyDescent="0.25">
      <c r="M185" s="326"/>
      <c r="N185" s="326"/>
    </row>
    <row r="186" spans="13:14" s="236" customFormat="1" x14ac:dyDescent="0.25">
      <c r="M186" s="326"/>
      <c r="N186" s="326"/>
    </row>
    <row r="187" spans="13:14" s="236" customFormat="1" x14ac:dyDescent="0.25">
      <c r="M187" s="326"/>
      <c r="N187" s="326"/>
    </row>
    <row r="188" spans="13:14" s="236" customFormat="1" x14ac:dyDescent="0.25">
      <c r="M188" s="326"/>
      <c r="N188" s="326"/>
    </row>
    <row r="189" spans="13:14" s="236" customFormat="1" x14ac:dyDescent="0.25">
      <c r="M189" s="326"/>
      <c r="N189" s="326"/>
    </row>
    <row r="190" spans="13:14" s="236" customFormat="1" x14ac:dyDescent="0.25">
      <c r="M190" s="326"/>
      <c r="N190" s="326"/>
    </row>
    <row r="191" spans="13:14" s="236" customFormat="1" x14ac:dyDescent="0.25">
      <c r="M191" s="326"/>
      <c r="N191" s="326"/>
    </row>
    <row r="192" spans="13:14" s="236" customFormat="1" x14ac:dyDescent="0.25">
      <c r="M192" s="326"/>
      <c r="N192" s="326"/>
    </row>
    <row r="193" spans="13:14" s="236" customFormat="1" x14ac:dyDescent="0.25">
      <c r="M193" s="326"/>
      <c r="N193" s="326"/>
    </row>
    <row r="194" spans="13:14" s="236" customFormat="1" x14ac:dyDescent="0.25">
      <c r="M194" s="326"/>
      <c r="N194" s="326"/>
    </row>
    <row r="195" spans="13:14" s="236" customFormat="1" x14ac:dyDescent="0.25">
      <c r="M195" s="326"/>
      <c r="N195" s="326"/>
    </row>
    <row r="196" spans="13:14" s="236" customFormat="1" x14ac:dyDescent="0.25">
      <c r="M196" s="326"/>
      <c r="N196" s="326"/>
    </row>
    <row r="197" spans="13:14" s="236" customFormat="1" x14ac:dyDescent="0.25">
      <c r="M197" s="326"/>
      <c r="N197" s="326"/>
    </row>
    <row r="198" spans="13:14" s="236" customFormat="1" x14ac:dyDescent="0.25">
      <c r="M198" s="326"/>
      <c r="N198" s="326"/>
    </row>
    <row r="199" spans="13:14" s="236" customFormat="1" x14ac:dyDescent="0.25">
      <c r="M199" s="326"/>
      <c r="N199" s="326"/>
    </row>
    <row r="200" spans="13:14" s="236" customFormat="1" x14ac:dyDescent="0.25">
      <c r="M200" s="326"/>
      <c r="N200" s="326"/>
    </row>
    <row r="201" spans="13:14" s="236" customFormat="1" x14ac:dyDescent="0.25">
      <c r="M201" s="326"/>
      <c r="N201" s="326"/>
    </row>
    <row r="202" spans="13:14" s="236" customFormat="1" x14ac:dyDescent="0.25">
      <c r="M202" s="326"/>
      <c r="N202" s="326"/>
    </row>
    <row r="203" spans="13:14" s="236" customFormat="1" x14ac:dyDescent="0.25">
      <c r="M203" s="326"/>
      <c r="N203" s="326"/>
    </row>
    <row r="204" spans="13:14" s="236" customFormat="1" x14ac:dyDescent="0.25">
      <c r="M204" s="326"/>
      <c r="N204" s="326"/>
    </row>
    <row r="205" spans="13:14" s="236" customFormat="1" x14ac:dyDescent="0.25">
      <c r="M205" s="326"/>
      <c r="N205" s="326"/>
    </row>
    <row r="206" spans="13:14" s="236" customFormat="1" x14ac:dyDescent="0.25">
      <c r="M206" s="326"/>
      <c r="N206" s="326"/>
    </row>
    <row r="207" spans="13:14" s="236" customFormat="1" x14ac:dyDescent="0.25">
      <c r="M207" s="326"/>
      <c r="N207" s="326"/>
    </row>
    <row r="208" spans="13:14" s="236" customFormat="1" x14ac:dyDescent="0.25">
      <c r="M208" s="326"/>
      <c r="N208" s="326"/>
    </row>
    <row r="209" spans="13:14" s="236" customFormat="1" x14ac:dyDescent="0.25">
      <c r="M209" s="326"/>
      <c r="N209" s="326"/>
    </row>
    <row r="210" spans="13:14" s="236" customFormat="1" x14ac:dyDescent="0.25">
      <c r="M210" s="326"/>
      <c r="N210" s="326"/>
    </row>
    <row r="211" spans="13:14" s="236" customFormat="1" x14ac:dyDescent="0.25">
      <c r="M211" s="326"/>
      <c r="N211" s="326"/>
    </row>
    <row r="212" spans="13:14" s="236" customFormat="1" x14ac:dyDescent="0.25">
      <c r="M212" s="326"/>
      <c r="N212" s="326"/>
    </row>
    <row r="213" spans="13:14" s="236" customFormat="1" x14ac:dyDescent="0.25">
      <c r="M213" s="326"/>
      <c r="N213" s="326"/>
    </row>
    <row r="214" spans="13:14" s="236" customFormat="1" x14ac:dyDescent="0.25">
      <c r="M214" s="326"/>
      <c r="N214" s="326"/>
    </row>
    <row r="215" spans="13:14" s="236" customFormat="1" x14ac:dyDescent="0.25">
      <c r="M215" s="326"/>
      <c r="N215" s="326"/>
    </row>
    <row r="216" spans="13:14" s="236" customFormat="1" x14ac:dyDescent="0.25">
      <c r="M216" s="326"/>
      <c r="N216" s="326"/>
    </row>
    <row r="217" spans="13:14" s="236" customFormat="1" x14ac:dyDescent="0.25">
      <c r="M217" s="326"/>
      <c r="N217" s="326"/>
    </row>
    <row r="218" spans="13:14" s="236" customFormat="1" x14ac:dyDescent="0.25">
      <c r="M218" s="326"/>
      <c r="N218" s="326"/>
    </row>
    <row r="219" spans="13:14" s="236" customFormat="1" x14ac:dyDescent="0.25">
      <c r="M219" s="326"/>
      <c r="N219" s="326"/>
    </row>
    <row r="220" spans="13:14" s="236" customFormat="1" x14ac:dyDescent="0.25">
      <c r="M220" s="326"/>
      <c r="N220" s="326"/>
    </row>
    <row r="221" spans="13:14" s="236" customFormat="1" x14ac:dyDescent="0.25">
      <c r="M221" s="326"/>
      <c r="N221" s="326"/>
    </row>
    <row r="222" spans="13:14" s="236" customFormat="1" x14ac:dyDescent="0.25">
      <c r="M222" s="326"/>
      <c r="N222" s="326"/>
    </row>
    <row r="223" spans="13:14" s="236" customFormat="1" x14ac:dyDescent="0.25">
      <c r="M223" s="326"/>
      <c r="N223" s="326"/>
    </row>
    <row r="224" spans="13:14" s="236" customFormat="1" x14ac:dyDescent="0.25">
      <c r="M224" s="326"/>
      <c r="N224" s="326"/>
    </row>
    <row r="225" spans="13:14" s="236" customFormat="1" x14ac:dyDescent="0.25">
      <c r="M225" s="326"/>
      <c r="N225" s="326"/>
    </row>
    <row r="226" spans="13:14" s="236" customFormat="1" x14ac:dyDescent="0.25">
      <c r="M226" s="326"/>
      <c r="N226" s="326"/>
    </row>
    <row r="227" spans="13:14" s="236" customFormat="1" x14ac:dyDescent="0.25">
      <c r="M227" s="326"/>
      <c r="N227" s="326"/>
    </row>
    <row r="228" spans="13:14" s="236" customFormat="1" x14ac:dyDescent="0.25">
      <c r="M228" s="326"/>
      <c r="N228" s="326"/>
    </row>
    <row r="229" spans="13:14" s="236" customFormat="1" x14ac:dyDescent="0.25">
      <c r="M229" s="326"/>
      <c r="N229" s="326"/>
    </row>
    <row r="230" spans="13:14" s="236" customFormat="1" x14ac:dyDescent="0.25">
      <c r="M230" s="326"/>
      <c r="N230" s="326"/>
    </row>
    <row r="231" spans="13:14" s="236" customFormat="1" x14ac:dyDescent="0.25">
      <c r="M231" s="326"/>
      <c r="N231" s="326"/>
    </row>
    <row r="232" spans="13:14" s="236" customFormat="1" x14ac:dyDescent="0.25">
      <c r="M232" s="326"/>
      <c r="N232" s="326"/>
    </row>
    <row r="233" spans="13:14" s="236" customFormat="1" x14ac:dyDescent="0.25">
      <c r="M233" s="326"/>
      <c r="N233" s="326"/>
    </row>
    <row r="234" spans="13:14" s="236" customFormat="1" x14ac:dyDescent="0.25">
      <c r="M234" s="326"/>
      <c r="N234" s="326"/>
    </row>
    <row r="235" spans="13:14" s="236" customFormat="1" x14ac:dyDescent="0.25">
      <c r="M235" s="326"/>
      <c r="N235" s="326"/>
    </row>
    <row r="236" spans="13:14" s="236" customFormat="1" x14ac:dyDescent="0.25">
      <c r="M236" s="326"/>
      <c r="N236" s="326"/>
    </row>
    <row r="237" spans="13:14" s="236" customFormat="1" x14ac:dyDescent="0.25">
      <c r="M237" s="326"/>
      <c r="N237" s="326"/>
    </row>
    <row r="238" spans="13:14" s="236" customFormat="1" x14ac:dyDescent="0.25">
      <c r="M238" s="326"/>
      <c r="N238" s="326"/>
    </row>
    <row r="239" spans="13:14" s="236" customFormat="1" x14ac:dyDescent="0.25">
      <c r="M239" s="326"/>
      <c r="N239" s="326"/>
    </row>
    <row r="240" spans="13:14" s="236" customFormat="1" x14ac:dyDescent="0.25">
      <c r="M240" s="326"/>
      <c r="N240" s="326"/>
    </row>
    <row r="241" spans="13:14" s="236" customFormat="1" x14ac:dyDescent="0.25">
      <c r="M241" s="326"/>
      <c r="N241" s="326"/>
    </row>
    <row r="242" spans="13:14" s="236" customFormat="1" x14ac:dyDescent="0.25">
      <c r="M242" s="326"/>
      <c r="N242" s="326"/>
    </row>
    <row r="243" spans="13:14" s="236" customFormat="1" x14ac:dyDescent="0.25">
      <c r="M243" s="326"/>
      <c r="N243" s="326"/>
    </row>
    <row r="244" spans="13:14" s="236" customFormat="1" x14ac:dyDescent="0.25">
      <c r="M244" s="326"/>
      <c r="N244" s="326"/>
    </row>
    <row r="245" spans="13:14" s="236" customFormat="1" x14ac:dyDescent="0.25">
      <c r="M245" s="326"/>
      <c r="N245" s="326"/>
    </row>
    <row r="246" spans="13:14" s="236" customFormat="1" x14ac:dyDescent="0.25">
      <c r="M246" s="326"/>
      <c r="N246" s="326"/>
    </row>
    <row r="247" spans="13:14" s="236" customFormat="1" x14ac:dyDescent="0.25">
      <c r="M247" s="326"/>
      <c r="N247" s="326"/>
    </row>
    <row r="248" spans="13:14" s="236" customFormat="1" x14ac:dyDescent="0.25">
      <c r="M248" s="326"/>
      <c r="N248" s="326"/>
    </row>
    <row r="249" spans="13:14" s="236" customFormat="1" x14ac:dyDescent="0.25">
      <c r="M249" s="326"/>
      <c r="N249" s="326"/>
    </row>
    <row r="250" spans="13:14" s="236" customFormat="1" x14ac:dyDescent="0.25">
      <c r="M250" s="326"/>
      <c r="N250" s="326"/>
    </row>
    <row r="251" spans="13:14" s="236" customFormat="1" x14ac:dyDescent="0.25">
      <c r="M251" s="326"/>
      <c r="N251" s="326"/>
    </row>
    <row r="252" spans="13:14" s="236" customFormat="1" x14ac:dyDescent="0.25">
      <c r="M252" s="326"/>
      <c r="N252" s="326"/>
    </row>
    <row r="253" spans="13:14" s="236" customFormat="1" x14ac:dyDescent="0.25">
      <c r="M253" s="326"/>
      <c r="N253" s="326"/>
    </row>
    <row r="254" spans="13:14" s="236" customFormat="1" x14ac:dyDescent="0.25">
      <c r="M254" s="326"/>
      <c r="N254" s="326"/>
    </row>
    <row r="255" spans="13:14" s="236" customFormat="1" x14ac:dyDescent="0.25">
      <c r="M255" s="326"/>
      <c r="N255" s="326"/>
    </row>
    <row r="256" spans="13:14" s="236" customFormat="1" x14ac:dyDescent="0.25">
      <c r="M256" s="326"/>
      <c r="N256" s="326"/>
    </row>
    <row r="257" spans="13:14" s="236" customFormat="1" x14ac:dyDescent="0.25">
      <c r="M257" s="326"/>
      <c r="N257" s="326"/>
    </row>
    <row r="258" spans="13:14" s="236" customFormat="1" x14ac:dyDescent="0.25">
      <c r="M258" s="326"/>
      <c r="N258" s="326"/>
    </row>
    <row r="259" spans="13:14" s="236" customFormat="1" x14ac:dyDescent="0.25">
      <c r="M259" s="326"/>
      <c r="N259" s="326"/>
    </row>
    <row r="260" spans="13:14" s="236" customFormat="1" x14ac:dyDescent="0.25">
      <c r="M260" s="326"/>
      <c r="N260" s="326"/>
    </row>
    <row r="261" spans="13:14" s="236" customFormat="1" x14ac:dyDescent="0.25">
      <c r="M261" s="326"/>
      <c r="N261" s="326"/>
    </row>
    <row r="262" spans="13:14" s="236" customFormat="1" x14ac:dyDescent="0.25">
      <c r="M262" s="326"/>
      <c r="N262" s="326"/>
    </row>
    <row r="263" spans="13:14" s="236" customFormat="1" x14ac:dyDescent="0.25">
      <c r="M263" s="326"/>
      <c r="N263" s="326"/>
    </row>
    <row r="264" spans="13:14" s="236" customFormat="1" x14ac:dyDescent="0.25">
      <c r="M264" s="326"/>
      <c r="N264" s="326"/>
    </row>
    <row r="265" spans="13:14" s="236" customFormat="1" x14ac:dyDescent="0.25">
      <c r="M265" s="326"/>
      <c r="N265" s="326"/>
    </row>
    <row r="266" spans="13:14" s="236" customFormat="1" x14ac:dyDescent="0.25">
      <c r="M266" s="326"/>
      <c r="N266" s="326"/>
    </row>
    <row r="267" spans="13:14" s="236" customFormat="1" x14ac:dyDescent="0.25">
      <c r="M267" s="326"/>
      <c r="N267" s="326"/>
    </row>
    <row r="268" spans="13:14" s="236" customFormat="1" x14ac:dyDescent="0.25">
      <c r="M268" s="326"/>
      <c r="N268" s="326"/>
    </row>
    <row r="269" spans="13:14" s="236" customFormat="1" x14ac:dyDescent="0.25">
      <c r="M269" s="326"/>
      <c r="N269" s="326"/>
    </row>
    <row r="270" spans="13:14" s="236" customFormat="1" x14ac:dyDescent="0.25">
      <c r="M270" s="326"/>
      <c r="N270" s="326"/>
    </row>
    <row r="271" spans="13:14" s="236" customFormat="1" x14ac:dyDescent="0.25">
      <c r="M271" s="326"/>
      <c r="N271" s="326"/>
    </row>
    <row r="272" spans="13:14" s="236" customFormat="1" x14ac:dyDescent="0.25">
      <c r="M272" s="326"/>
      <c r="N272" s="326"/>
    </row>
    <row r="273" spans="13:14" s="236" customFormat="1" x14ac:dyDescent="0.25">
      <c r="M273" s="326"/>
      <c r="N273" s="326"/>
    </row>
    <row r="274" spans="13:14" s="236" customFormat="1" x14ac:dyDescent="0.25">
      <c r="M274" s="326"/>
      <c r="N274" s="326"/>
    </row>
    <row r="275" spans="13:14" s="236" customFormat="1" x14ac:dyDescent="0.25">
      <c r="M275" s="326"/>
      <c r="N275" s="326"/>
    </row>
    <row r="276" spans="13:14" s="236" customFormat="1" x14ac:dyDescent="0.25">
      <c r="M276" s="326"/>
      <c r="N276" s="326"/>
    </row>
    <row r="277" spans="13:14" s="236" customFormat="1" x14ac:dyDescent="0.25">
      <c r="M277" s="326"/>
      <c r="N277" s="326"/>
    </row>
    <row r="278" spans="13:14" s="236" customFormat="1" x14ac:dyDescent="0.25">
      <c r="M278" s="326"/>
      <c r="N278" s="326"/>
    </row>
    <row r="279" spans="13:14" s="236" customFormat="1" x14ac:dyDescent="0.25">
      <c r="M279" s="326"/>
      <c r="N279" s="326"/>
    </row>
    <row r="280" spans="13:14" s="236" customFormat="1" x14ac:dyDescent="0.25">
      <c r="M280" s="326"/>
      <c r="N280" s="326"/>
    </row>
    <row r="281" spans="13:14" s="236" customFormat="1" x14ac:dyDescent="0.25">
      <c r="M281" s="326"/>
      <c r="N281" s="326"/>
    </row>
    <row r="282" spans="13:14" s="236" customFormat="1" x14ac:dyDescent="0.25">
      <c r="M282" s="326"/>
      <c r="N282" s="326"/>
    </row>
    <row r="283" spans="13:14" s="236" customFormat="1" x14ac:dyDescent="0.25">
      <c r="M283" s="326"/>
      <c r="N283" s="326"/>
    </row>
    <row r="284" spans="13:14" s="236" customFormat="1" x14ac:dyDescent="0.25">
      <c r="M284" s="326"/>
      <c r="N284" s="326"/>
    </row>
    <row r="285" spans="13:14" s="236" customFormat="1" x14ac:dyDescent="0.25">
      <c r="M285" s="326"/>
      <c r="N285" s="326"/>
    </row>
    <row r="286" spans="13:14" s="236" customFormat="1" x14ac:dyDescent="0.25">
      <c r="M286" s="326"/>
      <c r="N286" s="326"/>
    </row>
    <row r="287" spans="13:14" s="236" customFormat="1" x14ac:dyDescent="0.25">
      <c r="M287" s="326"/>
      <c r="N287" s="326"/>
    </row>
    <row r="288" spans="13:14" s="236" customFormat="1" x14ac:dyDescent="0.25">
      <c r="M288" s="326"/>
      <c r="N288" s="326"/>
    </row>
    <row r="289" spans="13:14" s="236" customFormat="1" x14ac:dyDescent="0.25">
      <c r="M289" s="326"/>
      <c r="N289" s="326"/>
    </row>
    <row r="290" spans="13:14" s="236" customFormat="1" x14ac:dyDescent="0.25">
      <c r="M290" s="326"/>
      <c r="N290" s="326"/>
    </row>
    <row r="291" spans="13:14" s="236" customFormat="1" x14ac:dyDescent="0.25">
      <c r="M291" s="326"/>
      <c r="N291" s="326"/>
    </row>
    <row r="292" spans="13:14" s="236" customFormat="1" x14ac:dyDescent="0.25">
      <c r="M292" s="326"/>
      <c r="N292" s="326"/>
    </row>
    <row r="293" spans="13:14" s="236" customFormat="1" x14ac:dyDescent="0.25">
      <c r="M293" s="326"/>
      <c r="N293" s="326"/>
    </row>
    <row r="294" spans="13:14" s="236" customFormat="1" x14ac:dyDescent="0.25">
      <c r="M294" s="326"/>
      <c r="N294" s="326"/>
    </row>
    <row r="295" spans="13:14" s="236" customFormat="1" x14ac:dyDescent="0.25">
      <c r="M295" s="326"/>
      <c r="N295" s="326"/>
    </row>
    <row r="296" spans="13:14" s="236" customFormat="1" x14ac:dyDescent="0.25">
      <c r="M296" s="326"/>
      <c r="N296" s="326"/>
    </row>
    <row r="297" spans="13:14" s="236" customFormat="1" x14ac:dyDescent="0.25">
      <c r="M297" s="326"/>
      <c r="N297" s="326"/>
    </row>
    <row r="298" spans="13:14" s="236" customFormat="1" x14ac:dyDescent="0.25">
      <c r="M298" s="326"/>
      <c r="N298" s="326"/>
    </row>
    <row r="299" spans="13:14" s="236" customFormat="1" x14ac:dyDescent="0.25">
      <c r="M299" s="326"/>
      <c r="N299" s="326"/>
    </row>
    <row r="300" spans="13:14" s="236" customFormat="1" x14ac:dyDescent="0.25">
      <c r="M300" s="326"/>
      <c r="N300" s="326"/>
    </row>
    <row r="301" spans="13:14" s="236" customFormat="1" x14ac:dyDescent="0.25">
      <c r="M301" s="326"/>
      <c r="N301" s="326"/>
    </row>
    <row r="302" spans="13:14" s="236" customFormat="1" x14ac:dyDescent="0.25">
      <c r="M302" s="326"/>
      <c r="N302" s="326"/>
    </row>
    <row r="303" spans="13:14" s="236" customFormat="1" x14ac:dyDescent="0.25">
      <c r="M303" s="326"/>
      <c r="N303" s="326"/>
    </row>
    <row r="304" spans="13:14" s="236" customFormat="1" x14ac:dyDescent="0.25">
      <c r="M304" s="326"/>
      <c r="N304" s="326"/>
    </row>
    <row r="305" spans="13:14" s="236" customFormat="1" x14ac:dyDescent="0.25">
      <c r="M305" s="326"/>
      <c r="N305" s="326"/>
    </row>
  </sheetData>
  <sheetProtection algorithmName="SHA-512" hashValue="+HUOoP3FLvTBLhrQk8Na1T9or79CnmJ84B0qzZoOuIzgkt5ZOkirvpVW1+UNwaOAFbfmNiVlIymL+cxQfYK4kQ==" saltValue="CUzntxtc7gcF5ZONiWJb6A==" spinCount="100000" sheet="1" autoFilter="0"/>
  <mergeCells count="19">
    <mergeCell ref="B16:C16"/>
    <mergeCell ref="B30:H30"/>
    <mergeCell ref="E22:G22"/>
    <mergeCell ref="E23:G25"/>
    <mergeCell ref="B18:C18"/>
    <mergeCell ref="B19:C19"/>
    <mergeCell ref="B20:C20"/>
    <mergeCell ref="B21:C21"/>
    <mergeCell ref="B22:C22"/>
    <mergeCell ref="B23:C23"/>
    <mergeCell ref="B24:C24"/>
    <mergeCell ref="B25:C25"/>
    <mergeCell ref="E26:G26"/>
    <mergeCell ref="B17:C17"/>
    <mergeCell ref="B2:B4"/>
    <mergeCell ref="B11:D12"/>
    <mergeCell ref="F11:F12"/>
    <mergeCell ref="B13:D13"/>
    <mergeCell ref="C14:E14"/>
  </mergeCells>
  <hyperlinks>
    <hyperlink ref="B2" r:id="rId1" display="mailto:schoolfinanceteam@derby.gov.uk" xr:uid="{031B978A-5A88-4F63-8D34-DEE0CF65801F}"/>
  </hyperlinks>
  <pageMargins left="0.7" right="0.7" top="0.75" bottom="0.75" header="0.3" footer="0.3"/>
  <pageSetup paperSize="9" scale="53"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93C3-4596-458A-B08A-5EE3417691DD}">
  <sheetPr codeName="Sheet8"/>
  <dimension ref="A1:L17"/>
  <sheetViews>
    <sheetView zoomScaleNormal="100" workbookViewId="0">
      <selection activeCell="N24" sqref="N24"/>
    </sheetView>
  </sheetViews>
  <sheetFormatPr defaultRowHeight="12.5" x14ac:dyDescent="0.25"/>
  <cols>
    <col min="1" max="1" width="11.81640625" customWidth="1"/>
    <col min="2" max="2" width="24" bestFit="1" customWidth="1"/>
    <col min="4" max="4" width="11.26953125" customWidth="1"/>
    <col min="7" max="7" width="15.54296875" bestFit="1" customWidth="1"/>
    <col min="8" max="8" width="12.81640625" bestFit="1" customWidth="1"/>
    <col min="9" max="9" width="14.453125" bestFit="1" customWidth="1"/>
    <col min="10" max="10" width="11.7265625" bestFit="1" customWidth="1"/>
    <col min="11" max="11" width="11.7265625" customWidth="1"/>
    <col min="12" max="12" width="15.54296875" bestFit="1" customWidth="1"/>
  </cols>
  <sheetData>
    <row r="1" spans="1:12" ht="15.5" x14ac:dyDescent="0.35">
      <c r="A1" s="618" t="s">
        <v>1369</v>
      </c>
    </row>
    <row r="3" spans="1:12" ht="13" thickBot="1" x14ac:dyDescent="0.3"/>
    <row r="4" spans="1:12" ht="13.5" thickBot="1" x14ac:dyDescent="0.35">
      <c r="A4" s="623"/>
      <c r="B4" s="623"/>
      <c r="C4" s="737" t="s">
        <v>1383</v>
      </c>
      <c r="D4" s="738"/>
      <c r="E4" s="738"/>
      <c r="F4" s="739"/>
      <c r="G4" s="623"/>
      <c r="H4" s="623"/>
      <c r="I4" s="623"/>
      <c r="J4" s="623"/>
      <c r="K4" s="623"/>
      <c r="L4" s="623"/>
    </row>
    <row r="5" spans="1:12" ht="13.5" thickBot="1" x14ac:dyDescent="0.35">
      <c r="A5" s="624"/>
      <c r="B5" s="624"/>
      <c r="C5" s="735" t="s">
        <v>1161</v>
      </c>
      <c r="D5" s="736"/>
      <c r="E5" s="735" t="s">
        <v>1162</v>
      </c>
      <c r="F5" s="736"/>
      <c r="G5" s="625"/>
      <c r="H5" s="626"/>
      <c r="I5" s="626"/>
      <c r="J5" s="626"/>
      <c r="K5" s="625"/>
      <c r="L5" s="625"/>
    </row>
    <row r="6" spans="1:12" ht="91.5" thickBot="1" x14ac:dyDescent="0.35">
      <c r="A6" s="528" t="s">
        <v>270</v>
      </c>
      <c r="B6" s="528" t="s">
        <v>1</v>
      </c>
      <c r="C6" s="627" t="s">
        <v>1159</v>
      </c>
      <c r="D6" s="628" t="s">
        <v>1160</v>
      </c>
      <c r="E6" s="627" t="s">
        <v>1163</v>
      </c>
      <c r="F6" s="628" t="s">
        <v>1164</v>
      </c>
      <c r="G6" s="629" t="s">
        <v>1167</v>
      </c>
      <c r="H6" s="630" t="s">
        <v>1165</v>
      </c>
      <c r="I6" s="630" t="s">
        <v>1166</v>
      </c>
      <c r="J6" s="628" t="s">
        <v>1168</v>
      </c>
      <c r="K6" s="631" t="s">
        <v>1386</v>
      </c>
      <c r="L6" s="629" t="s">
        <v>1385</v>
      </c>
    </row>
    <row r="7" spans="1:12" x14ac:dyDescent="0.25">
      <c r="A7" s="534">
        <v>147491</v>
      </c>
      <c r="B7" s="534" t="s">
        <v>265</v>
      </c>
      <c r="C7" s="535">
        <f>'High Needs'!H26</f>
        <v>88</v>
      </c>
      <c r="D7" s="536">
        <f>'High Needs'!J26</f>
        <v>88</v>
      </c>
      <c r="E7" s="535">
        <f>'High Needs'!K26</f>
        <v>11</v>
      </c>
      <c r="F7" s="536">
        <f>'High Needs'!L26</f>
        <v>11</v>
      </c>
      <c r="G7" s="605">
        <f t="shared" ref="G7:G14" si="0">((C7/12*5)+(D7/12*7)+(E7/12*4)+(F7/12*8))*10000</f>
        <v>990000</v>
      </c>
      <c r="H7" s="606">
        <f>((C7/12*5)+(D7/12*7)+(E7/12*4)+(F7/12*8))*660</f>
        <v>65340</v>
      </c>
      <c r="I7" s="607">
        <f>'High Needs'!Y26</f>
        <v>88098.12</v>
      </c>
      <c r="J7" s="607"/>
      <c r="K7" s="619" t="s">
        <v>1384</v>
      </c>
      <c r="L7" s="605">
        <f>SUM(G7:K7)</f>
        <v>1143438.1200000001</v>
      </c>
    </row>
    <row r="8" spans="1:12" x14ac:dyDescent="0.25">
      <c r="A8" s="450">
        <v>147132</v>
      </c>
      <c r="B8" s="450" t="s">
        <v>1141</v>
      </c>
      <c r="C8" s="530">
        <f>'High Needs'!H27</f>
        <v>119</v>
      </c>
      <c r="D8" s="531">
        <f>'High Needs'!J27</f>
        <v>125</v>
      </c>
      <c r="E8" s="530">
        <f>'High Needs'!K27</f>
        <v>36</v>
      </c>
      <c r="F8" s="531">
        <f>'High Needs'!L27</f>
        <v>45</v>
      </c>
      <c r="G8" s="608">
        <f t="shared" si="0"/>
        <v>1645000</v>
      </c>
      <c r="H8" s="609">
        <f t="shared" ref="H8:H14" si="1">((C8/12*5)+(D8/12*7)+(E8/12*4)+(F8/12*8))*660</f>
        <v>108570</v>
      </c>
      <c r="I8" s="610">
        <f>'High Needs'!Y27</f>
        <v>115607.30999999998</v>
      </c>
      <c r="J8" s="610"/>
      <c r="K8" s="619" t="s">
        <v>1384</v>
      </c>
      <c r="L8" s="605">
        <f t="shared" ref="L8:L12" si="2">SUM(G8:K8)</f>
        <v>1869177.31</v>
      </c>
    </row>
    <row r="9" spans="1:12" x14ac:dyDescent="0.25">
      <c r="A9" s="450">
        <v>147137</v>
      </c>
      <c r="B9" s="450" t="s">
        <v>1143</v>
      </c>
      <c r="C9" s="530">
        <f>'High Needs'!H29</f>
        <v>145</v>
      </c>
      <c r="D9" s="531">
        <f>'High Needs'!J29</f>
        <v>180</v>
      </c>
      <c r="E9" s="530">
        <f>'High Needs'!K29</f>
        <v>0</v>
      </c>
      <c r="F9" s="531">
        <f>'High Needs'!L29</f>
        <v>0</v>
      </c>
      <c r="G9" s="608">
        <f t="shared" si="0"/>
        <v>1654166.6666666667</v>
      </c>
      <c r="H9" s="609">
        <f t="shared" si="1"/>
        <v>109175.00000000001</v>
      </c>
      <c r="I9" s="610">
        <f>'High Needs'!Y29</f>
        <v>93389.28750000002</v>
      </c>
      <c r="J9" s="610"/>
      <c r="K9" s="619" t="s">
        <v>1384</v>
      </c>
      <c r="L9" s="605">
        <f t="shared" si="2"/>
        <v>1856730.9541666668</v>
      </c>
    </row>
    <row r="10" spans="1:12" x14ac:dyDescent="0.25">
      <c r="A10" s="450">
        <v>147558</v>
      </c>
      <c r="B10" s="450" t="s">
        <v>1144</v>
      </c>
      <c r="C10" s="530">
        <f>'High Needs'!H30</f>
        <v>145</v>
      </c>
      <c r="D10" s="531">
        <f>'High Needs'!J30</f>
        <v>160</v>
      </c>
      <c r="E10" s="530">
        <f>'High Needs'!K30</f>
        <v>0</v>
      </c>
      <c r="F10" s="531">
        <f>'High Needs'!L30</f>
        <v>0</v>
      </c>
      <c r="G10" s="608">
        <f t="shared" si="0"/>
        <v>1537500</v>
      </c>
      <c r="H10" s="609">
        <f t="shared" si="1"/>
        <v>101475</v>
      </c>
      <c r="I10" s="610">
        <f>'High Needs'!Y30</f>
        <v>110707.6875</v>
      </c>
      <c r="J10" s="610"/>
      <c r="K10" s="619" t="s">
        <v>1384</v>
      </c>
      <c r="L10" s="605">
        <f t="shared" si="2"/>
        <v>1749682.6875</v>
      </c>
    </row>
    <row r="11" spans="1:12" x14ac:dyDescent="0.25">
      <c r="A11" s="450">
        <v>147143</v>
      </c>
      <c r="B11" s="450" t="s">
        <v>1145</v>
      </c>
      <c r="C11" s="530">
        <f>'High Needs'!H31</f>
        <v>151</v>
      </c>
      <c r="D11" s="531">
        <f>'High Needs'!J31</f>
        <v>198</v>
      </c>
      <c r="E11" s="530">
        <f>'High Needs'!K31</f>
        <v>54</v>
      </c>
      <c r="F11" s="531">
        <f>'High Needs'!L31</f>
        <v>50</v>
      </c>
      <c r="G11" s="608">
        <f t="shared" si="0"/>
        <v>2297500.0000000005</v>
      </c>
      <c r="H11" s="609">
        <f t="shared" si="1"/>
        <v>151635.00000000003</v>
      </c>
      <c r="I11" s="610">
        <f>'High Needs'!Y31</f>
        <v>149551.16749999998</v>
      </c>
      <c r="J11" s="610">
        <f>'High Needs'!AA31</f>
        <v>94219</v>
      </c>
      <c r="K11" s="619" t="s">
        <v>1384</v>
      </c>
      <c r="L11" s="605">
        <f t="shared" si="2"/>
        <v>2692905.1675000004</v>
      </c>
    </row>
    <row r="12" spans="1:12" ht="13" thickBot="1" x14ac:dyDescent="0.3">
      <c r="A12" s="450">
        <v>135345</v>
      </c>
      <c r="B12" s="450" t="s">
        <v>268</v>
      </c>
      <c r="C12" s="532">
        <f>'High Needs'!H32</f>
        <v>180</v>
      </c>
      <c r="D12" s="533">
        <f>'High Needs'!J32</f>
        <v>180</v>
      </c>
      <c r="E12" s="532">
        <f>'High Needs'!K30</f>
        <v>0</v>
      </c>
      <c r="F12" s="533">
        <f>'High Needs'!L30</f>
        <v>0</v>
      </c>
      <c r="G12" s="608">
        <f t="shared" ref="G12" si="3">((C12/12*5)+(D12/12*7)+(E12/12*4)+(F12/12*8))*10000</f>
        <v>1800000</v>
      </c>
      <c r="H12" s="609">
        <f t="shared" ref="H12" si="4">((C12/12*5)+(D12/12*7)+(E12/12*4)+(F12/12*8))*660</f>
        <v>118800</v>
      </c>
      <c r="I12" s="610">
        <f>'High Needs'!Y30</f>
        <v>110707.6875</v>
      </c>
      <c r="J12" s="610"/>
      <c r="K12" s="619" t="s">
        <v>1384</v>
      </c>
      <c r="L12" s="605">
        <f t="shared" si="2"/>
        <v>2029507.6875</v>
      </c>
    </row>
    <row r="13" spans="1:12" ht="13" thickBot="1" x14ac:dyDescent="0.3">
      <c r="A13" s="602"/>
      <c r="B13" s="602"/>
      <c r="C13" s="603"/>
      <c r="D13" s="604"/>
      <c r="E13" s="603"/>
      <c r="F13" s="604"/>
      <c r="G13" s="611"/>
      <c r="H13" s="612"/>
      <c r="I13" s="613"/>
      <c r="J13" s="613"/>
      <c r="K13" s="620"/>
      <c r="L13" s="614"/>
    </row>
    <row r="14" spans="1:12" ht="13" thickBot="1" x14ac:dyDescent="0.3">
      <c r="A14" s="450">
        <v>136071</v>
      </c>
      <c r="B14" s="450" t="s">
        <v>156</v>
      </c>
      <c r="C14" s="532">
        <f>+'High Needs'!H33</f>
        <v>100</v>
      </c>
      <c r="D14" s="533">
        <f>+C14</f>
        <v>100</v>
      </c>
      <c r="E14" s="532">
        <f>'High Needs'!K32</f>
        <v>0</v>
      </c>
      <c r="F14" s="533">
        <f>'High Needs'!L32</f>
        <v>0</v>
      </c>
      <c r="G14" s="608">
        <f t="shared" si="0"/>
        <v>1000000</v>
      </c>
      <c r="H14" s="609">
        <f t="shared" si="1"/>
        <v>66000</v>
      </c>
      <c r="I14" s="610">
        <f>+'High Needs'!Y33</f>
        <v>100898</v>
      </c>
      <c r="J14" s="610"/>
      <c r="K14" s="619" t="s">
        <v>1384</v>
      </c>
      <c r="L14" s="605">
        <f t="shared" ref="L14:L15" si="5">SUM(G14:K14)</f>
        <v>1166898</v>
      </c>
    </row>
    <row r="15" spans="1:12" ht="13" thickBot="1" x14ac:dyDescent="0.3">
      <c r="A15" s="450">
        <v>138277</v>
      </c>
      <c r="B15" s="450" t="str">
        <f>+'High Needs'!F34</f>
        <v>Derby Pride Academy</v>
      </c>
      <c r="C15" s="532"/>
      <c r="D15" s="533"/>
      <c r="E15" s="532">
        <f>'High Needs'!K33</f>
        <v>0</v>
      </c>
      <c r="F15" s="533">
        <f>'High Needs'!L33</f>
        <v>0</v>
      </c>
      <c r="G15" s="608">
        <f t="shared" ref="G15" si="6">((C15/12*5)+(D15/12*7)+(E15/12*4)+(F15/12*8))*10000</f>
        <v>0</v>
      </c>
      <c r="H15" s="609">
        <f>+'High Needs'!T34</f>
        <v>33000</v>
      </c>
      <c r="I15" s="610">
        <f>+'High Needs'!Y34</f>
        <v>40719.5</v>
      </c>
      <c r="J15" s="610"/>
      <c r="K15" s="619"/>
      <c r="L15" s="605">
        <f t="shared" si="5"/>
        <v>73719.5</v>
      </c>
    </row>
    <row r="16" spans="1:12" ht="13" thickBot="1" x14ac:dyDescent="0.3">
      <c r="G16" s="615"/>
      <c r="H16" s="615"/>
      <c r="I16" s="615"/>
      <c r="J16" s="615"/>
      <c r="K16" s="615"/>
      <c r="L16" s="615"/>
    </row>
    <row r="17" spans="1:12" ht="13.5" thickBot="1" x14ac:dyDescent="0.35">
      <c r="A17" s="528" t="s">
        <v>1353</v>
      </c>
      <c r="B17" s="528" t="s">
        <v>197</v>
      </c>
      <c r="C17" s="529">
        <f t="shared" ref="C17:L17" si="7">SUM(C7:C16)</f>
        <v>928</v>
      </c>
      <c r="D17" s="529">
        <f t="shared" si="7"/>
        <v>1031</v>
      </c>
      <c r="E17" s="529">
        <f t="shared" si="7"/>
        <v>101</v>
      </c>
      <c r="F17" s="529">
        <f t="shared" si="7"/>
        <v>106</v>
      </c>
      <c r="G17" s="616">
        <f t="shared" si="7"/>
        <v>10924166.666666668</v>
      </c>
      <c r="H17" s="616">
        <f t="shared" si="7"/>
        <v>753995</v>
      </c>
      <c r="I17" s="616">
        <f>SUM(I7:I16)</f>
        <v>809678.76</v>
      </c>
      <c r="J17" s="617">
        <f t="shared" si="7"/>
        <v>94219</v>
      </c>
      <c r="K17" s="617"/>
      <c r="L17" s="617">
        <f t="shared" si="7"/>
        <v>12582059.426666668</v>
      </c>
    </row>
  </sheetData>
  <sheetProtection algorithmName="SHA-512" hashValue="2NuzIVMgT+Byp4ldoTNFyrC4JYWlSfQArNgkImIO53ccSsSbqvmfiqtWpWd4YLziCMfQCFwQ8skPGCcmCaltdw==" saltValue="gYs7ZlnDHHMFi/IePqlspw==" spinCount="100000" sheet="1" objects="1" scenarios="1"/>
  <mergeCells count="3">
    <mergeCell ref="C5:D5"/>
    <mergeCell ref="E5:F5"/>
    <mergeCell ref="C4:F4"/>
  </mergeCells>
  <pageMargins left="0.7" right="0.7" top="0.75" bottom="0.75" header="0.3" footer="0.3"/>
  <pageSetup paperSize="9" scale="94" orientation="landscape" r:id="rId1"/>
  <colBreaks count="1" manualBreakCount="1">
    <brk id="12" max="1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2DDA-0935-480A-B2E3-B790EE0044EB}">
  <sheetPr codeName="Sheet13"/>
  <dimension ref="A1:G26"/>
  <sheetViews>
    <sheetView zoomScale="130" zoomScaleNormal="130" workbookViewId="0">
      <selection activeCell="O17" sqref="O17"/>
    </sheetView>
  </sheetViews>
  <sheetFormatPr defaultRowHeight="12.5" x14ac:dyDescent="0.25"/>
  <cols>
    <col min="1" max="1" width="11.453125" customWidth="1"/>
    <col min="2" max="2" width="37.1796875" bestFit="1" customWidth="1"/>
    <col min="4" max="4" width="11.26953125" customWidth="1"/>
    <col min="5" max="5" width="15.1796875" customWidth="1"/>
    <col min="6" max="6" width="17.26953125" customWidth="1"/>
    <col min="7" max="7" width="14.54296875" bestFit="1" customWidth="1"/>
  </cols>
  <sheetData>
    <row r="1" spans="1:7" ht="15.5" x14ac:dyDescent="0.35">
      <c r="A1" s="618" t="s">
        <v>1389</v>
      </c>
    </row>
    <row r="3" spans="1:7" ht="13" thickBot="1" x14ac:dyDescent="0.3"/>
    <row r="4" spans="1:7" ht="29.5" customHeight="1" thickBot="1" x14ac:dyDescent="0.35">
      <c r="C4" s="740" t="s">
        <v>1383</v>
      </c>
      <c r="D4" s="741"/>
    </row>
    <row r="5" spans="1:7" ht="13.5" thickBot="1" x14ac:dyDescent="0.35">
      <c r="A5" s="624"/>
      <c r="B5" s="624"/>
      <c r="C5" s="735" t="s">
        <v>1161</v>
      </c>
      <c r="D5" s="736"/>
      <c r="E5" s="625"/>
      <c r="F5" s="623"/>
      <c r="G5" s="623"/>
    </row>
    <row r="6" spans="1:7" ht="78.5" thickBot="1" x14ac:dyDescent="0.35">
      <c r="A6" s="528" t="s">
        <v>270</v>
      </c>
      <c r="B6" s="528" t="s">
        <v>1</v>
      </c>
      <c r="C6" s="627" t="s">
        <v>1159</v>
      </c>
      <c r="D6" s="628" t="s">
        <v>1160</v>
      </c>
      <c r="E6" s="629" t="s">
        <v>1169</v>
      </c>
      <c r="F6" s="630" t="s">
        <v>1387</v>
      </c>
      <c r="G6" s="628" t="s">
        <v>1388</v>
      </c>
    </row>
    <row r="7" spans="1:7" x14ac:dyDescent="0.25">
      <c r="A7" s="534">
        <v>137911</v>
      </c>
      <c r="B7" s="534" t="s">
        <v>149</v>
      </c>
      <c r="C7" s="535">
        <f>'High Needs'!H8+'High Needs'!I8</f>
        <v>26</v>
      </c>
      <c r="D7" s="536">
        <f>'High Needs'!J8</f>
        <v>20</v>
      </c>
      <c r="E7" s="637">
        <f t="shared" ref="E7:E21" si="0">((C7/12*5)+(D7/12*7))*6000</f>
        <v>135000</v>
      </c>
      <c r="F7" s="638">
        <f>((C7/12*5)+(D7/12*7))*6000</f>
        <v>135000</v>
      </c>
      <c r="G7" s="606">
        <f>SUM(E7:F7)</f>
        <v>270000</v>
      </c>
    </row>
    <row r="8" spans="1:7" x14ac:dyDescent="0.25">
      <c r="A8" s="534">
        <v>145759</v>
      </c>
      <c r="B8" s="534" t="s">
        <v>1376</v>
      </c>
      <c r="C8" s="535">
        <f>'High Needs'!H9+'High Needs'!I9</f>
        <v>12</v>
      </c>
      <c r="D8" s="536">
        <f>'High Needs'!J9</f>
        <v>12</v>
      </c>
      <c r="E8" s="605">
        <f t="shared" si="0"/>
        <v>72000</v>
      </c>
      <c r="F8" s="622">
        <f>((C8/12*5)+(D8/12*7))*8000</f>
        <v>96000</v>
      </c>
      <c r="G8" s="609">
        <f t="shared" ref="G8:G23" si="1">SUM(E8:F8)</f>
        <v>168000</v>
      </c>
    </row>
    <row r="9" spans="1:7" x14ac:dyDescent="0.25">
      <c r="A9" s="534">
        <v>145806</v>
      </c>
      <c r="B9" s="534" t="s">
        <v>1375</v>
      </c>
      <c r="C9" s="535">
        <f>'High Needs'!H10+'High Needs'!I10</f>
        <v>8</v>
      </c>
      <c r="D9" s="536">
        <f>'High Needs'!J10</f>
        <v>8</v>
      </c>
      <c r="E9" s="605">
        <f t="shared" si="0"/>
        <v>47999.999999999993</v>
      </c>
      <c r="F9" s="622">
        <f>((C9/12*5)+(D9/12*7))*8000</f>
        <v>63999.999999999993</v>
      </c>
      <c r="G9" s="609">
        <f t="shared" si="1"/>
        <v>111999.99999999999</v>
      </c>
    </row>
    <row r="10" spans="1:7" x14ac:dyDescent="0.25">
      <c r="A10" s="534">
        <v>112951</v>
      </c>
      <c r="B10" s="534" t="s">
        <v>1132</v>
      </c>
      <c r="C10" s="535">
        <f>'High Needs'!H11+'High Needs'!I11</f>
        <v>45</v>
      </c>
      <c r="D10" s="536">
        <f>'High Needs'!J11</f>
        <v>45</v>
      </c>
      <c r="E10" s="605">
        <f t="shared" si="0"/>
        <v>270000</v>
      </c>
      <c r="F10" s="622">
        <f>((C10/12*5)+(D10/12*7))*9000</f>
        <v>405000</v>
      </c>
      <c r="G10" s="609">
        <f t="shared" si="1"/>
        <v>675000</v>
      </c>
    </row>
    <row r="11" spans="1:7" x14ac:dyDescent="0.25">
      <c r="A11" s="534">
        <v>146847</v>
      </c>
      <c r="B11" s="534" t="s">
        <v>1381</v>
      </c>
      <c r="C11" s="535">
        <f>'High Needs'!H12+'High Needs'!I12</f>
        <v>16</v>
      </c>
      <c r="D11" s="536">
        <f>'High Needs'!J12</f>
        <v>16</v>
      </c>
      <c r="E11" s="605">
        <f t="shared" si="0"/>
        <v>95999.999999999985</v>
      </c>
      <c r="F11" s="621" t="s">
        <v>1384</v>
      </c>
      <c r="G11" s="609">
        <f t="shared" si="1"/>
        <v>95999.999999999985</v>
      </c>
    </row>
    <row r="12" spans="1:7" x14ac:dyDescent="0.25">
      <c r="A12" s="534">
        <v>148384</v>
      </c>
      <c r="B12" s="534" t="s">
        <v>1134</v>
      </c>
      <c r="C12" s="535">
        <f>'High Needs'!H13+'High Needs'!I13</f>
        <v>40</v>
      </c>
      <c r="D12" s="536">
        <f>'High Needs'!J13</f>
        <v>38</v>
      </c>
      <c r="E12" s="605">
        <f t="shared" si="0"/>
        <v>232999.99999999997</v>
      </c>
      <c r="F12" s="622">
        <f>((C12/12*5)+(D12/12*7))*8000</f>
        <v>310666.66666666663</v>
      </c>
      <c r="G12" s="609">
        <f t="shared" si="1"/>
        <v>543666.66666666663</v>
      </c>
    </row>
    <row r="13" spans="1:7" x14ac:dyDescent="0.25">
      <c r="A13" s="534">
        <v>145982</v>
      </c>
      <c r="B13" s="534" t="s">
        <v>1374</v>
      </c>
      <c r="C13" s="535">
        <f>'High Needs'!H14+'High Needs'!I14</f>
        <v>12</v>
      </c>
      <c r="D13" s="536">
        <f>'High Needs'!J14</f>
        <v>12</v>
      </c>
      <c r="E13" s="605">
        <f t="shared" si="0"/>
        <v>72000</v>
      </c>
      <c r="F13" s="622">
        <f>((C13/12*5)+(D13/12*7))*8000</f>
        <v>96000</v>
      </c>
      <c r="G13" s="609">
        <f t="shared" si="1"/>
        <v>168000</v>
      </c>
    </row>
    <row r="14" spans="1:7" x14ac:dyDescent="0.25">
      <c r="A14" s="534">
        <v>146080</v>
      </c>
      <c r="B14" s="534" t="s">
        <v>1373</v>
      </c>
      <c r="C14" s="535">
        <f>'High Needs'!H15+'High Needs'!I15</f>
        <v>12</v>
      </c>
      <c r="D14" s="536">
        <f>'High Needs'!J15</f>
        <v>12</v>
      </c>
      <c r="E14" s="605">
        <f t="shared" si="0"/>
        <v>72000</v>
      </c>
      <c r="F14" s="622">
        <f>((C14/12*5)+(D14/12*7))*8000</f>
        <v>96000</v>
      </c>
      <c r="G14" s="609">
        <f t="shared" si="1"/>
        <v>168000</v>
      </c>
    </row>
    <row r="15" spans="1:7" x14ac:dyDescent="0.25">
      <c r="A15" s="534">
        <v>145855</v>
      </c>
      <c r="B15" s="534" t="s">
        <v>1136</v>
      </c>
      <c r="C15" s="535">
        <f>'High Needs'!H17+'High Needs'!I17</f>
        <v>12</v>
      </c>
      <c r="D15" s="536">
        <f>'High Needs'!J17</f>
        <v>10</v>
      </c>
      <c r="E15" s="605">
        <f t="shared" si="0"/>
        <v>65000</v>
      </c>
      <c r="F15" s="622">
        <f>((C15/12*5)+(D15/12*7))*6000</f>
        <v>65000</v>
      </c>
      <c r="G15" s="609">
        <f t="shared" si="1"/>
        <v>130000</v>
      </c>
    </row>
    <row r="16" spans="1:7" x14ac:dyDescent="0.25">
      <c r="A16" s="534">
        <v>138622</v>
      </c>
      <c r="B16" s="534" t="s">
        <v>582</v>
      </c>
      <c r="C16" s="535">
        <f>'High Needs'!H18+'High Needs'!I18</f>
        <v>15</v>
      </c>
      <c r="D16" s="536">
        <f>'High Needs'!J18</f>
        <v>15</v>
      </c>
      <c r="E16" s="605">
        <f t="shared" si="0"/>
        <v>90000</v>
      </c>
      <c r="F16" s="622">
        <f>((C16/12*5)+(D16/12*7))*10000</f>
        <v>150000</v>
      </c>
      <c r="G16" s="609">
        <f t="shared" si="1"/>
        <v>240000</v>
      </c>
    </row>
    <row r="17" spans="1:7" x14ac:dyDescent="0.25">
      <c r="A17" s="534">
        <v>146839</v>
      </c>
      <c r="B17" s="534" t="s">
        <v>118</v>
      </c>
      <c r="C17" s="535">
        <f>'High Needs'!H19+'High Needs'!I19</f>
        <v>35</v>
      </c>
      <c r="D17" s="536">
        <f>'High Needs'!J19</f>
        <v>60</v>
      </c>
      <c r="E17" s="605">
        <f t="shared" si="0"/>
        <v>297500</v>
      </c>
      <c r="F17" s="622">
        <f>((C17/12*5)+(D17/12*7))*8000</f>
        <v>396666.66666666663</v>
      </c>
      <c r="G17" s="609">
        <f t="shared" si="1"/>
        <v>694166.66666666663</v>
      </c>
    </row>
    <row r="18" spans="1:7" x14ac:dyDescent="0.25">
      <c r="A18" s="534">
        <v>146253</v>
      </c>
      <c r="B18" s="534" t="s">
        <v>1380</v>
      </c>
      <c r="C18" s="535">
        <f>'High Needs'!H20+'High Needs'!I20</f>
        <v>16</v>
      </c>
      <c r="D18" s="536">
        <f>'High Needs'!J20</f>
        <v>16</v>
      </c>
      <c r="E18" s="605">
        <f t="shared" si="0"/>
        <v>95999.999999999985</v>
      </c>
      <c r="F18" s="621" t="s">
        <v>1384</v>
      </c>
      <c r="G18" s="609">
        <f t="shared" si="1"/>
        <v>95999.999999999985</v>
      </c>
    </row>
    <row r="19" spans="1:7" x14ac:dyDescent="0.25">
      <c r="A19" s="534">
        <v>145760</v>
      </c>
      <c r="B19" s="534" t="s">
        <v>1372</v>
      </c>
      <c r="C19" s="535">
        <f>'High Needs'!H21+'High Needs'!I21</f>
        <v>26</v>
      </c>
      <c r="D19" s="536">
        <f>'High Needs'!J21</f>
        <v>26</v>
      </c>
      <c r="E19" s="605">
        <f t="shared" si="0"/>
        <v>156000</v>
      </c>
      <c r="F19" s="622">
        <f>((C19/12*5)+(D19/12*7))*8000</f>
        <v>208000</v>
      </c>
      <c r="G19" s="609">
        <f t="shared" si="1"/>
        <v>364000</v>
      </c>
    </row>
    <row r="20" spans="1:7" x14ac:dyDescent="0.25">
      <c r="A20" s="534">
        <v>148639</v>
      </c>
      <c r="B20" s="534" t="s">
        <v>1377</v>
      </c>
      <c r="C20" s="535">
        <f>'High Needs'!H22+'High Needs'!I22</f>
        <v>0</v>
      </c>
      <c r="D20" s="536">
        <f>'High Needs'!J22</f>
        <v>40</v>
      </c>
      <c r="E20" s="605">
        <f t="shared" si="0"/>
        <v>140000</v>
      </c>
      <c r="F20" s="621" t="s">
        <v>1384</v>
      </c>
      <c r="G20" s="609">
        <f t="shared" si="1"/>
        <v>140000</v>
      </c>
    </row>
    <row r="21" spans="1:7" x14ac:dyDescent="0.25">
      <c r="A21" s="534">
        <v>136634</v>
      </c>
      <c r="B21" s="534" t="s">
        <v>1378</v>
      </c>
      <c r="C21" s="535">
        <f>'High Needs'!H23+'High Needs'!I23</f>
        <v>0</v>
      </c>
      <c r="D21" s="536">
        <f>'High Needs'!J23</f>
        <v>40</v>
      </c>
      <c r="E21" s="605">
        <f t="shared" si="0"/>
        <v>140000</v>
      </c>
      <c r="F21" s="621" t="s">
        <v>1384</v>
      </c>
      <c r="G21" s="609">
        <f t="shared" si="1"/>
        <v>140000</v>
      </c>
    </row>
    <row r="22" spans="1:7" ht="13" thickBot="1" x14ac:dyDescent="0.3">
      <c r="E22" s="615"/>
    </row>
    <row r="23" spans="1:7" ht="13" thickBot="1" x14ac:dyDescent="0.3">
      <c r="A23" s="632" t="s">
        <v>1203</v>
      </c>
      <c r="B23" s="633" t="s">
        <v>754</v>
      </c>
      <c r="C23" s="634">
        <f t="shared" ref="C23:F23" si="2">SUM(C7:C22)</f>
        <v>275</v>
      </c>
      <c r="D23" s="634">
        <f t="shared" si="2"/>
        <v>370</v>
      </c>
      <c r="E23" s="635">
        <f t="shared" si="2"/>
        <v>1982500</v>
      </c>
      <c r="F23" s="635">
        <f t="shared" si="2"/>
        <v>2022333.333333333</v>
      </c>
      <c r="G23" s="636">
        <f t="shared" si="1"/>
        <v>4004833.333333333</v>
      </c>
    </row>
    <row r="25" spans="1:7" x14ac:dyDescent="0.25">
      <c r="A25" t="s">
        <v>1379</v>
      </c>
    </row>
    <row r="26" spans="1:7" x14ac:dyDescent="0.25">
      <c r="A26" t="s">
        <v>1382</v>
      </c>
    </row>
  </sheetData>
  <sheetProtection algorithmName="SHA-512" hashValue="7OvLiuVlhTBiMQjY5+MwGn5F00zz+5X2fjn0HDWSQvHrQ6a2PaZ6QK00IL3kW27MSAkCvEaUysBxsJy4IHF0jQ==" saltValue="nBgyuTxW26w6wuprjUHXaQ==" spinCount="100000" sheet="1" objects="1" scenarios="1"/>
  <mergeCells count="2">
    <mergeCell ref="C5:D5"/>
    <mergeCell ref="C4:D4"/>
  </mergeCells>
  <pageMargins left="0.7" right="0.7"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5D73C-72F4-4E26-B1FF-FC9974DD373B}">
  <sheetPr codeName="Sheet14">
    <tabColor rgb="FF7030A0"/>
  </sheetPr>
  <dimension ref="A1:AL43"/>
  <sheetViews>
    <sheetView zoomScale="70" zoomScaleNormal="70" workbookViewId="0">
      <selection activeCell="S36" sqref="S36"/>
    </sheetView>
  </sheetViews>
  <sheetFormatPr defaultRowHeight="12.5" x14ac:dyDescent="0.25"/>
  <cols>
    <col min="1" max="1" width="7.81640625" customWidth="1"/>
    <col min="2" max="2" width="8.1796875" hidden="1" customWidth="1"/>
    <col min="3" max="3" width="8.7265625" hidden="1" customWidth="1"/>
    <col min="6" max="6" width="20.1796875" customWidth="1"/>
    <col min="7" max="7" width="9.7265625" bestFit="1" customWidth="1"/>
    <col min="8" max="8" width="14" bestFit="1" customWidth="1"/>
    <col min="10" max="10" width="17.453125" bestFit="1" customWidth="1"/>
    <col min="11" max="12" width="14" bestFit="1" customWidth="1"/>
    <col min="17" max="17" width="11.7265625" bestFit="1" customWidth="1"/>
    <col min="18" max="18" width="15.54296875" bestFit="1" customWidth="1"/>
    <col min="19" max="19" width="28.54296875" bestFit="1" customWidth="1"/>
    <col min="20" max="20" width="28.81640625" bestFit="1" customWidth="1"/>
    <col min="21" max="21" width="14.54296875" bestFit="1" customWidth="1"/>
    <col min="22" max="22" width="14.54296875" customWidth="1"/>
    <col min="23" max="23" width="13.453125" bestFit="1" customWidth="1"/>
    <col min="24" max="24" width="17.7265625" bestFit="1" customWidth="1"/>
    <col min="25" max="25" width="16.453125" bestFit="1" customWidth="1"/>
    <col min="26" max="26" width="7.54296875" bestFit="1" customWidth="1"/>
    <col min="27" max="27" width="10.54296875" bestFit="1" customWidth="1"/>
    <col min="28" max="28" width="14.54296875" bestFit="1" customWidth="1"/>
    <col min="37" max="37" width="10.1796875" bestFit="1" customWidth="1"/>
  </cols>
  <sheetData>
    <row r="1" spans="1:37" ht="19" thickBot="1" x14ac:dyDescent="0.5">
      <c r="A1" s="744" t="s">
        <v>1092</v>
      </c>
      <c r="B1" s="425"/>
      <c r="C1" s="425"/>
      <c r="F1" s="426" t="s">
        <v>263</v>
      </c>
      <c r="G1" s="745" t="s">
        <v>1093</v>
      </c>
      <c r="H1" s="746"/>
      <c r="I1" s="746"/>
      <c r="J1" s="746"/>
      <c r="K1" s="746"/>
      <c r="L1" s="746"/>
      <c r="M1" s="746"/>
      <c r="N1" s="746"/>
      <c r="O1" s="747"/>
      <c r="P1" s="427"/>
      <c r="Q1" s="428" t="s">
        <v>1094</v>
      </c>
      <c r="R1" s="429"/>
      <c r="S1" s="429"/>
      <c r="T1" s="429"/>
      <c r="U1" s="429"/>
      <c r="V1" s="429"/>
      <c r="W1" s="429"/>
      <c r="X1" s="429"/>
      <c r="Y1" s="429"/>
      <c r="Z1" s="429"/>
      <c r="AA1" s="429"/>
      <c r="AB1" s="430"/>
      <c r="AC1" s="429"/>
      <c r="AD1" s="429"/>
      <c r="AE1" s="429"/>
    </row>
    <row r="2" spans="1:37" ht="19" thickBot="1" x14ac:dyDescent="0.5">
      <c r="A2" s="744"/>
      <c r="B2" s="425"/>
      <c r="C2" s="425"/>
      <c r="F2" s="431" t="s">
        <v>1095</v>
      </c>
      <c r="G2" s="432"/>
      <c r="H2" s="748" t="s">
        <v>1096</v>
      </c>
      <c r="I2" s="749"/>
      <c r="J2" s="749"/>
      <c r="K2" s="748" t="s">
        <v>264</v>
      </c>
      <c r="L2" s="750"/>
      <c r="M2" s="433"/>
      <c r="N2" s="433"/>
      <c r="O2" s="434" t="s">
        <v>1097</v>
      </c>
      <c r="P2" s="427"/>
      <c r="Q2" s="742" t="s">
        <v>160</v>
      </c>
      <c r="R2" s="751"/>
      <c r="S2" s="742" t="s">
        <v>1098</v>
      </c>
      <c r="T2" s="743"/>
      <c r="AB2" s="435"/>
      <c r="AG2" t="s">
        <v>1099</v>
      </c>
    </row>
    <row r="3" spans="1:37" ht="101.5" x14ac:dyDescent="0.35">
      <c r="A3" s="379"/>
      <c r="B3" s="379" t="s">
        <v>1100</v>
      </c>
      <c r="C3" s="379" t="s">
        <v>1101</v>
      </c>
      <c r="D3" s="436" t="s">
        <v>1102</v>
      </c>
      <c r="E3" s="437"/>
      <c r="F3" s="437" t="s">
        <v>1</v>
      </c>
      <c r="G3" s="438" t="s">
        <v>1103</v>
      </c>
      <c r="H3" s="439" t="s">
        <v>1104</v>
      </c>
      <c r="I3" s="440" t="s">
        <v>1105</v>
      </c>
      <c r="J3" s="439" t="s">
        <v>1106</v>
      </c>
      <c r="K3" s="439" t="s">
        <v>1104</v>
      </c>
      <c r="L3" s="439" t="s">
        <v>1106</v>
      </c>
      <c r="M3" s="440" t="s">
        <v>1107</v>
      </c>
      <c r="N3" s="441" t="s">
        <v>1108</v>
      </c>
      <c r="O3" s="442" t="s">
        <v>1109</v>
      </c>
      <c r="P3" s="443"/>
      <c r="Q3" s="444" t="s">
        <v>1110</v>
      </c>
      <c r="R3" s="445" t="s">
        <v>1111</v>
      </c>
      <c r="S3" s="446" t="s">
        <v>1112</v>
      </c>
      <c r="T3" s="446" t="s">
        <v>1113</v>
      </c>
      <c r="U3" s="445" t="s">
        <v>1151</v>
      </c>
      <c r="V3" s="445" t="s">
        <v>1152</v>
      </c>
      <c r="W3" s="446" t="s">
        <v>1114</v>
      </c>
      <c r="X3" s="446" t="s">
        <v>1115</v>
      </c>
      <c r="Y3" s="446" t="s">
        <v>1116</v>
      </c>
      <c r="Z3" s="445" t="s">
        <v>1117</v>
      </c>
      <c r="AA3" s="446" t="s">
        <v>182</v>
      </c>
      <c r="AB3" s="447" t="s">
        <v>197</v>
      </c>
      <c r="AC3" s="448"/>
      <c r="AD3" s="445" t="s">
        <v>1118</v>
      </c>
      <c r="AE3" s="445" t="s">
        <v>1119</v>
      </c>
      <c r="AF3" s="449"/>
      <c r="AG3" s="436" t="s">
        <v>1120</v>
      </c>
      <c r="AH3" s="436" t="s">
        <v>1121</v>
      </c>
      <c r="AI3" s="436" t="s">
        <v>1122</v>
      </c>
      <c r="AK3" s="523" t="s">
        <v>1153</v>
      </c>
    </row>
    <row r="4" spans="1:37" x14ac:dyDescent="0.25">
      <c r="D4" s="290"/>
      <c r="E4" s="450"/>
      <c r="F4" s="450"/>
      <c r="G4" s="451"/>
      <c r="H4" s="290" t="s">
        <v>1123</v>
      </c>
      <c r="I4" s="290" t="s">
        <v>1123</v>
      </c>
      <c r="J4" s="290" t="s">
        <v>1124</v>
      </c>
      <c r="K4" s="290" t="s">
        <v>1125</v>
      </c>
      <c r="L4" s="290" t="s">
        <v>1126</v>
      </c>
      <c r="M4" s="452"/>
      <c r="N4" s="452"/>
      <c r="O4" s="453"/>
      <c r="P4" s="454"/>
      <c r="Q4" s="455">
        <v>4000</v>
      </c>
      <c r="R4" s="456">
        <v>6000</v>
      </c>
      <c r="S4" s="456">
        <v>10000</v>
      </c>
      <c r="T4" s="456">
        <v>660</v>
      </c>
      <c r="U4" s="290"/>
      <c r="V4" s="290"/>
      <c r="W4" s="290"/>
      <c r="X4" s="290"/>
      <c r="Y4" s="290"/>
      <c r="Z4" s="290"/>
      <c r="AA4" s="290"/>
      <c r="AB4" s="453"/>
      <c r="AC4" s="450"/>
      <c r="AD4" s="290"/>
      <c r="AE4" s="290"/>
      <c r="AF4" s="291"/>
      <c r="AG4" s="290"/>
      <c r="AH4" s="290"/>
      <c r="AI4" s="290"/>
    </row>
    <row r="5" spans="1:37" x14ac:dyDescent="0.25">
      <c r="D5" s="457" t="s">
        <v>1127</v>
      </c>
      <c r="E5" s="431"/>
      <c r="F5" s="431" t="s">
        <v>1128</v>
      </c>
      <c r="G5" s="458">
        <v>276.19999999999993</v>
      </c>
      <c r="H5" s="459"/>
      <c r="I5" s="459"/>
      <c r="J5" s="459"/>
      <c r="K5" s="460"/>
      <c r="L5" s="460"/>
      <c r="M5" s="461"/>
      <c r="N5" s="461"/>
      <c r="O5" s="462"/>
      <c r="P5" s="463"/>
      <c r="Q5" s="464"/>
      <c r="R5" s="465"/>
      <c r="S5" s="466"/>
      <c r="T5" s="466"/>
      <c r="U5" s="465">
        <v>3110038.2100000014</v>
      </c>
      <c r="V5" s="465"/>
      <c r="W5" s="465"/>
      <c r="X5" s="465"/>
      <c r="Y5" s="465"/>
      <c r="Z5" s="467"/>
      <c r="AA5" s="467"/>
      <c r="AB5" s="468">
        <v>3110038.2100000014</v>
      </c>
      <c r="AC5" s="469"/>
      <c r="AD5" s="465"/>
      <c r="AE5" s="465"/>
      <c r="AF5" s="470"/>
      <c r="AG5" s="471"/>
      <c r="AH5" s="471"/>
      <c r="AI5" s="471"/>
    </row>
    <row r="6" spans="1:37" x14ac:dyDescent="0.25">
      <c r="D6" s="472" t="s">
        <v>1127</v>
      </c>
      <c r="E6" s="426"/>
      <c r="F6" s="426" t="s">
        <v>1129</v>
      </c>
      <c r="G6" s="473">
        <v>635.79999999999984</v>
      </c>
      <c r="H6" s="474"/>
      <c r="I6" s="474"/>
      <c r="J6" s="474"/>
      <c r="K6" s="460"/>
      <c r="L6" s="460"/>
      <c r="M6" s="475"/>
      <c r="N6" s="475"/>
      <c r="O6" s="476"/>
      <c r="P6" s="463"/>
      <c r="Q6" s="477"/>
      <c r="R6" s="478"/>
      <c r="S6" s="466"/>
      <c r="T6" s="466"/>
      <c r="U6" s="478">
        <v>7106645.5305999815</v>
      </c>
      <c r="V6" s="478"/>
      <c r="W6" s="478"/>
      <c r="X6" s="478"/>
      <c r="Y6" s="478"/>
      <c r="Z6" s="479"/>
      <c r="AA6" s="479"/>
      <c r="AB6" s="480"/>
      <c r="AC6" s="481"/>
      <c r="AD6" s="478"/>
      <c r="AE6" s="478"/>
      <c r="AF6" s="482"/>
      <c r="AG6" s="471"/>
      <c r="AH6" s="471"/>
      <c r="AI6" s="471"/>
    </row>
    <row r="7" spans="1:37" x14ac:dyDescent="0.25">
      <c r="D7" s="290" t="s">
        <v>1127</v>
      </c>
      <c r="E7" s="450"/>
      <c r="F7" s="450" t="s">
        <v>1130</v>
      </c>
      <c r="G7" s="451">
        <v>200</v>
      </c>
      <c r="H7" s="483"/>
      <c r="I7" s="483"/>
      <c r="J7" s="483"/>
      <c r="K7" s="484"/>
      <c r="L7" s="484"/>
      <c r="M7" s="485"/>
      <c r="N7" s="485"/>
      <c r="O7" s="486"/>
      <c r="P7" s="487"/>
      <c r="Q7" s="488"/>
      <c r="R7" s="489"/>
      <c r="S7" s="490"/>
      <c r="T7" s="490"/>
      <c r="U7" s="489">
        <v>1691471.2076280941</v>
      </c>
      <c r="V7" s="489"/>
      <c r="W7" s="489"/>
      <c r="X7" s="491"/>
      <c r="Y7" s="491"/>
      <c r="Z7" s="491"/>
      <c r="AA7" s="491"/>
      <c r="AB7" s="492">
        <v>1691471.2076280941</v>
      </c>
      <c r="AC7" s="493"/>
      <c r="AD7" s="489"/>
      <c r="AE7" s="489"/>
      <c r="AF7" s="291"/>
      <c r="AG7" s="471"/>
      <c r="AH7" s="471"/>
      <c r="AI7" s="471"/>
    </row>
    <row r="8" spans="1:37" x14ac:dyDescent="0.25">
      <c r="B8" t="s">
        <v>1370</v>
      </c>
      <c r="C8" t="s">
        <v>199</v>
      </c>
      <c r="D8" s="472" t="s">
        <v>160</v>
      </c>
      <c r="E8" s="426">
        <v>5414</v>
      </c>
      <c r="F8" s="426" t="s">
        <v>149</v>
      </c>
      <c r="G8" s="473">
        <v>14.1</v>
      </c>
      <c r="H8" s="474">
        <v>26</v>
      </c>
      <c r="I8" s="474"/>
      <c r="J8" s="474">
        <v>20</v>
      </c>
      <c r="K8" s="460"/>
      <c r="L8" s="460"/>
      <c r="M8" s="475">
        <v>4.2300000000000004</v>
      </c>
      <c r="N8" s="475">
        <v>0</v>
      </c>
      <c r="O8" s="476">
        <v>4.17</v>
      </c>
      <c r="P8" s="463"/>
      <c r="Q8" s="477"/>
      <c r="R8" s="478">
        <v>135000</v>
      </c>
      <c r="S8" s="466"/>
      <c r="T8" s="466"/>
      <c r="U8" s="478">
        <v>84804.28</v>
      </c>
      <c r="V8" s="478"/>
      <c r="W8" s="478">
        <v>25380.000000000004</v>
      </c>
      <c r="X8" s="478">
        <v>43867.76999999999</v>
      </c>
      <c r="Y8" s="478"/>
      <c r="Z8" s="479"/>
      <c r="AA8" s="479"/>
      <c r="AB8" s="480">
        <v>289052.05</v>
      </c>
      <c r="AC8" s="481"/>
      <c r="AD8" s="478"/>
      <c r="AE8" s="478"/>
      <c r="AF8" s="482"/>
      <c r="AG8" s="471"/>
      <c r="AH8" s="471"/>
      <c r="AI8" s="471"/>
    </row>
    <row r="9" spans="1:37" x14ac:dyDescent="0.25">
      <c r="B9" t="s">
        <v>1370</v>
      </c>
      <c r="C9" t="s">
        <v>267</v>
      </c>
      <c r="D9" s="472" t="s">
        <v>160</v>
      </c>
      <c r="E9" s="426">
        <v>2442</v>
      </c>
      <c r="F9" s="426" t="s">
        <v>112</v>
      </c>
      <c r="G9" s="473">
        <v>4</v>
      </c>
      <c r="H9" s="474"/>
      <c r="I9" s="474">
        <v>12</v>
      </c>
      <c r="J9" s="474">
        <v>12</v>
      </c>
      <c r="K9" s="460"/>
      <c r="L9" s="460"/>
      <c r="M9" s="475">
        <v>8</v>
      </c>
      <c r="N9" s="475">
        <v>0</v>
      </c>
      <c r="O9" s="476"/>
      <c r="P9" s="463"/>
      <c r="Q9" s="494">
        <v>32000</v>
      </c>
      <c r="R9" s="478">
        <v>72000</v>
      </c>
      <c r="S9" s="466"/>
      <c r="T9" s="466"/>
      <c r="U9" s="478">
        <v>33819.339999999997</v>
      </c>
      <c r="V9" s="478"/>
      <c r="W9" s="478">
        <v>44000</v>
      </c>
      <c r="X9" s="478">
        <v>0</v>
      </c>
      <c r="Y9" s="478"/>
      <c r="Z9" s="479"/>
      <c r="AA9" s="479"/>
      <c r="AB9" s="480">
        <v>151819.34</v>
      </c>
      <c r="AC9" s="481"/>
      <c r="AD9" s="478"/>
      <c r="AE9" s="478"/>
      <c r="AF9" s="482"/>
      <c r="AG9" s="471"/>
      <c r="AH9" s="471"/>
      <c r="AI9" s="471"/>
    </row>
    <row r="10" spans="1:37" x14ac:dyDescent="0.25">
      <c r="B10" t="s">
        <v>1370</v>
      </c>
      <c r="C10" t="s">
        <v>267</v>
      </c>
      <c r="D10" s="472" t="s">
        <v>160</v>
      </c>
      <c r="E10" s="426">
        <v>2509</v>
      </c>
      <c r="F10" s="426" t="s">
        <v>121</v>
      </c>
      <c r="G10" s="473">
        <v>4</v>
      </c>
      <c r="H10" s="474"/>
      <c r="I10" s="474">
        <v>8</v>
      </c>
      <c r="J10" s="474">
        <v>8</v>
      </c>
      <c r="K10" s="460"/>
      <c r="L10" s="460"/>
      <c r="M10" s="475">
        <v>3.9999999999999991</v>
      </c>
      <c r="N10" s="475">
        <v>0</v>
      </c>
      <c r="O10" s="476"/>
      <c r="P10" s="463"/>
      <c r="Q10" s="494">
        <v>15999.999999999996</v>
      </c>
      <c r="R10" s="478">
        <v>47999.999999999993</v>
      </c>
      <c r="S10" s="466"/>
      <c r="T10" s="466"/>
      <c r="U10" s="478">
        <v>31084.45</v>
      </c>
      <c r="V10" s="478"/>
      <c r="W10" s="478"/>
      <c r="X10" s="478">
        <v>0</v>
      </c>
      <c r="Y10" s="478"/>
      <c r="Z10" s="479"/>
      <c r="AA10" s="479"/>
      <c r="AB10" s="480">
        <v>75084.45</v>
      </c>
      <c r="AC10" s="481"/>
      <c r="AD10" s="478"/>
      <c r="AE10" s="478"/>
      <c r="AF10" s="482"/>
      <c r="AG10" s="471"/>
      <c r="AH10" s="471"/>
      <c r="AI10" s="471"/>
    </row>
    <row r="11" spans="1:37" x14ac:dyDescent="0.25">
      <c r="A11" s="495" t="s">
        <v>1131</v>
      </c>
      <c r="B11" t="s">
        <v>1095</v>
      </c>
      <c r="C11" t="s">
        <v>199</v>
      </c>
      <c r="D11" s="457" t="s">
        <v>160</v>
      </c>
      <c r="E11" s="431"/>
      <c r="F11" s="431" t="s">
        <v>1132</v>
      </c>
      <c r="G11" s="458">
        <v>40.680000000000007</v>
      </c>
      <c r="H11" s="459">
        <v>45</v>
      </c>
      <c r="I11" s="459"/>
      <c r="J11" s="459">
        <v>45</v>
      </c>
      <c r="K11" s="460"/>
      <c r="L11" s="460"/>
      <c r="M11" s="461">
        <v>2.6499999999999932</v>
      </c>
      <c r="N11" s="461">
        <v>0</v>
      </c>
      <c r="O11" s="462">
        <v>1.67</v>
      </c>
      <c r="P11" s="463"/>
      <c r="Q11" s="477"/>
      <c r="R11" s="465">
        <v>270000</v>
      </c>
      <c r="S11" s="466"/>
      <c r="T11" s="466"/>
      <c r="U11" s="465">
        <v>367081.31999999972</v>
      </c>
      <c r="V11" s="465"/>
      <c r="W11" s="465">
        <v>23849.999999999938</v>
      </c>
      <c r="X11" s="465">
        <v>0</v>
      </c>
      <c r="Y11" s="465"/>
      <c r="Z11" s="467"/>
      <c r="AA11" s="467"/>
      <c r="AB11" s="468">
        <v>660931.3199999996</v>
      </c>
      <c r="AC11" s="469"/>
      <c r="AD11" s="465"/>
      <c r="AE11" s="465"/>
      <c r="AF11" s="470"/>
      <c r="AG11" s="471"/>
      <c r="AH11" s="471"/>
      <c r="AI11" s="471"/>
    </row>
    <row r="12" spans="1:37" x14ac:dyDescent="0.25">
      <c r="B12" t="s">
        <v>1370</v>
      </c>
      <c r="C12" t="s">
        <v>267</v>
      </c>
      <c r="D12" s="472" t="s">
        <v>160</v>
      </c>
      <c r="E12" s="426">
        <v>5201</v>
      </c>
      <c r="F12" s="426" t="s">
        <v>1133</v>
      </c>
      <c r="G12" s="473">
        <v>0</v>
      </c>
      <c r="H12" s="474"/>
      <c r="I12" s="474">
        <v>16</v>
      </c>
      <c r="J12" s="474">
        <v>16</v>
      </c>
      <c r="K12" s="460"/>
      <c r="L12" s="460"/>
      <c r="M12" s="475">
        <v>15.999999999999998</v>
      </c>
      <c r="N12" s="475">
        <v>0</v>
      </c>
      <c r="O12" s="476"/>
      <c r="P12" s="463"/>
      <c r="Q12" s="494">
        <v>63999.999999999993</v>
      </c>
      <c r="R12" s="478">
        <v>95999.999999999985</v>
      </c>
      <c r="S12" s="466"/>
      <c r="T12" s="466"/>
      <c r="U12" s="478">
        <v>0</v>
      </c>
      <c r="V12" s="478"/>
      <c r="W12" s="478">
        <v>127999.99999999999</v>
      </c>
      <c r="X12" s="478">
        <v>0</v>
      </c>
      <c r="Y12" s="478"/>
      <c r="Z12" s="479"/>
      <c r="AA12" s="479"/>
      <c r="AB12" s="480">
        <v>247999.99999999997</v>
      </c>
      <c r="AC12" s="481"/>
      <c r="AD12" s="478"/>
      <c r="AE12" s="478"/>
      <c r="AF12" s="482"/>
      <c r="AG12" s="471"/>
      <c r="AH12" s="471"/>
      <c r="AI12" s="471"/>
    </row>
    <row r="13" spans="1:37" x14ac:dyDescent="0.25">
      <c r="B13" t="s">
        <v>1370</v>
      </c>
      <c r="C13" t="s">
        <v>267</v>
      </c>
      <c r="D13" s="472" t="s">
        <v>160</v>
      </c>
      <c r="E13" s="426">
        <v>2026</v>
      </c>
      <c r="F13" s="426" t="s">
        <v>1134</v>
      </c>
      <c r="G13" s="473">
        <v>41.360000000000007</v>
      </c>
      <c r="H13" s="474">
        <v>40</v>
      </c>
      <c r="I13" s="474"/>
      <c r="J13" s="474">
        <v>38</v>
      </c>
      <c r="K13" s="460"/>
      <c r="L13" s="460"/>
      <c r="M13" s="475">
        <v>0</v>
      </c>
      <c r="N13" s="475">
        <v>2.5266666666666779</v>
      </c>
      <c r="O13" s="476"/>
      <c r="P13" s="463"/>
      <c r="Q13" s="477">
        <v>0</v>
      </c>
      <c r="R13" s="478">
        <v>232999.99999999997</v>
      </c>
      <c r="S13" s="466"/>
      <c r="T13" s="466"/>
      <c r="U13" s="478">
        <v>331723.0799999999</v>
      </c>
      <c r="V13" s="478"/>
      <c r="W13" s="478">
        <v>0</v>
      </c>
      <c r="X13" s="478">
        <v>0</v>
      </c>
      <c r="Y13" s="478"/>
      <c r="Z13" s="479"/>
      <c r="AA13" s="479"/>
      <c r="AB13" s="480">
        <v>564723.07999999984</v>
      </c>
      <c r="AC13" s="481"/>
      <c r="AD13" s="478"/>
      <c r="AE13" s="478"/>
      <c r="AF13" s="482"/>
      <c r="AG13" s="471"/>
      <c r="AH13" s="471"/>
      <c r="AI13" s="471"/>
    </row>
    <row r="14" spans="1:37" x14ac:dyDescent="0.25">
      <c r="B14" t="s">
        <v>1370</v>
      </c>
      <c r="C14" t="s">
        <v>267</v>
      </c>
      <c r="D14" s="472" t="s">
        <v>160</v>
      </c>
      <c r="E14" s="426">
        <v>2023</v>
      </c>
      <c r="F14" s="426" t="s">
        <v>106</v>
      </c>
      <c r="G14" s="473">
        <v>0</v>
      </c>
      <c r="H14" s="474">
        <v>0</v>
      </c>
      <c r="I14" s="474">
        <v>12</v>
      </c>
      <c r="J14" s="474">
        <v>12</v>
      </c>
      <c r="K14" s="460"/>
      <c r="L14" s="460"/>
      <c r="M14" s="475">
        <v>12</v>
      </c>
      <c r="N14" s="475">
        <v>0</v>
      </c>
      <c r="O14" s="476"/>
      <c r="P14" s="463"/>
      <c r="Q14" s="494">
        <v>48000</v>
      </c>
      <c r="R14" s="478">
        <v>72000</v>
      </c>
      <c r="S14" s="466"/>
      <c r="T14" s="466"/>
      <c r="U14" s="478"/>
      <c r="V14" s="478"/>
      <c r="W14" s="478">
        <v>96000</v>
      </c>
      <c r="X14" s="478"/>
      <c r="Y14" s="478"/>
      <c r="Z14" s="479"/>
      <c r="AA14" s="479"/>
      <c r="AB14" s="480"/>
      <c r="AC14" s="481"/>
      <c r="AD14" s="478"/>
      <c r="AE14" s="478"/>
      <c r="AF14" s="482"/>
      <c r="AG14" s="471"/>
      <c r="AH14" s="471"/>
      <c r="AI14" s="471"/>
    </row>
    <row r="15" spans="1:37" x14ac:dyDescent="0.25">
      <c r="B15" t="s">
        <v>1370</v>
      </c>
      <c r="C15" t="s">
        <v>267</v>
      </c>
      <c r="D15" s="472" t="s">
        <v>160</v>
      </c>
      <c r="E15" s="426">
        <v>2022</v>
      </c>
      <c r="F15" s="426" t="s">
        <v>105</v>
      </c>
      <c r="G15" s="473">
        <v>4</v>
      </c>
      <c r="H15" s="474"/>
      <c r="I15" s="474">
        <v>12</v>
      </c>
      <c r="J15" s="474">
        <v>12</v>
      </c>
      <c r="K15" s="460"/>
      <c r="L15" s="460"/>
      <c r="M15" s="475">
        <v>5.08</v>
      </c>
      <c r="N15" s="475">
        <v>0</v>
      </c>
      <c r="O15" s="476">
        <v>2.92</v>
      </c>
      <c r="P15" s="463"/>
      <c r="Q15" s="477"/>
      <c r="R15" s="478">
        <v>72000</v>
      </c>
      <c r="S15" s="466"/>
      <c r="T15" s="466"/>
      <c r="U15" s="478">
        <v>32088.720000000001</v>
      </c>
      <c r="V15" s="478"/>
      <c r="W15" s="478">
        <v>27940</v>
      </c>
      <c r="X15" s="478">
        <v>0</v>
      </c>
      <c r="Y15" s="478"/>
      <c r="Z15" s="479"/>
      <c r="AA15" s="479"/>
      <c r="AB15" s="480">
        <v>102028.72</v>
      </c>
      <c r="AC15" s="481"/>
      <c r="AD15" s="478"/>
      <c r="AE15" s="478"/>
      <c r="AF15" s="482"/>
      <c r="AG15" s="471"/>
      <c r="AH15" s="471"/>
      <c r="AI15" s="471"/>
    </row>
    <row r="16" spans="1:37" x14ac:dyDescent="0.25">
      <c r="A16" s="495" t="s">
        <v>1131</v>
      </c>
      <c r="B16" t="e">
        <v>#N/A</v>
      </c>
      <c r="C16" t="e">
        <v>#N/A</v>
      </c>
      <c r="D16" s="472" t="s">
        <v>160</v>
      </c>
      <c r="E16" s="426">
        <v>2436</v>
      </c>
      <c r="F16" s="426" t="s">
        <v>1135</v>
      </c>
      <c r="G16" s="473">
        <v>0</v>
      </c>
      <c r="H16" s="474"/>
      <c r="I16" s="474"/>
      <c r="J16" s="474"/>
      <c r="K16" s="460"/>
      <c r="L16" s="460"/>
      <c r="M16" s="475">
        <v>0</v>
      </c>
      <c r="N16" s="475">
        <v>0</v>
      </c>
      <c r="O16" s="476"/>
      <c r="P16" s="463"/>
      <c r="Q16" s="477"/>
      <c r="R16" s="478">
        <v>0</v>
      </c>
      <c r="S16" s="466"/>
      <c r="T16" s="466"/>
      <c r="U16" s="478">
        <v>0</v>
      </c>
      <c r="V16" s="478"/>
      <c r="W16" s="478">
        <v>0</v>
      </c>
      <c r="X16" s="478">
        <v>0</v>
      </c>
      <c r="Y16" s="478"/>
      <c r="Z16" s="479"/>
      <c r="AA16" s="479"/>
      <c r="AB16" s="480">
        <v>0</v>
      </c>
      <c r="AC16" s="481"/>
      <c r="AD16" s="478"/>
      <c r="AE16" s="478"/>
      <c r="AF16" s="482"/>
      <c r="AG16" s="471"/>
      <c r="AH16" s="471"/>
      <c r="AI16" s="471"/>
    </row>
    <row r="17" spans="1:38" x14ac:dyDescent="0.25">
      <c r="B17" t="s">
        <v>1370</v>
      </c>
      <c r="C17" t="s">
        <v>267</v>
      </c>
      <c r="D17" s="472" t="s">
        <v>160</v>
      </c>
      <c r="E17" s="426">
        <v>2020</v>
      </c>
      <c r="F17" s="426" t="s">
        <v>1136</v>
      </c>
      <c r="G17" s="473">
        <v>3</v>
      </c>
      <c r="H17" s="474">
        <v>12</v>
      </c>
      <c r="I17" s="474"/>
      <c r="J17" s="474">
        <v>10</v>
      </c>
      <c r="K17" s="460"/>
      <c r="L17" s="460"/>
      <c r="M17" s="475">
        <v>4.913333333333334</v>
      </c>
      <c r="N17" s="475">
        <v>0</v>
      </c>
      <c r="O17" s="476">
        <v>2.92</v>
      </c>
      <c r="P17" s="463"/>
      <c r="Q17" s="477"/>
      <c r="R17" s="478">
        <v>65000</v>
      </c>
      <c r="S17" s="466"/>
      <c r="T17" s="466"/>
      <c r="U17" s="478">
        <v>18048.72</v>
      </c>
      <c r="V17" s="478"/>
      <c r="W17" s="478">
        <v>29480.000000000004</v>
      </c>
      <c r="X17" s="478">
        <v>0</v>
      </c>
      <c r="Y17" s="478"/>
      <c r="Z17" s="479"/>
      <c r="AA17" s="479"/>
      <c r="AB17" s="480">
        <v>112528.72</v>
      </c>
      <c r="AC17" s="481"/>
      <c r="AD17" s="478"/>
      <c r="AE17" s="478"/>
      <c r="AF17" s="482"/>
      <c r="AG17" s="471"/>
      <c r="AH17" s="471"/>
      <c r="AI17" s="471"/>
    </row>
    <row r="18" spans="1:38" x14ac:dyDescent="0.25">
      <c r="B18" t="s">
        <v>1370</v>
      </c>
      <c r="C18" t="s">
        <v>199</v>
      </c>
      <c r="D18" s="472" t="s">
        <v>160</v>
      </c>
      <c r="E18" s="426">
        <v>4607</v>
      </c>
      <c r="F18" s="426" t="s">
        <v>582</v>
      </c>
      <c r="G18" s="473">
        <v>7</v>
      </c>
      <c r="H18" s="474">
        <v>15</v>
      </c>
      <c r="I18" s="474"/>
      <c r="J18" s="474">
        <v>15</v>
      </c>
      <c r="K18" s="460"/>
      <c r="L18" s="460"/>
      <c r="M18" s="475">
        <v>4.5</v>
      </c>
      <c r="N18" s="475">
        <v>0</v>
      </c>
      <c r="O18" s="476">
        <v>3.5</v>
      </c>
      <c r="P18" s="463"/>
      <c r="Q18" s="477"/>
      <c r="R18" s="478">
        <v>90000</v>
      </c>
      <c r="S18" s="466"/>
      <c r="T18" s="466"/>
      <c r="U18" s="478">
        <v>70189.489999999991</v>
      </c>
      <c r="V18" s="478"/>
      <c r="W18" s="478">
        <v>45000</v>
      </c>
      <c r="X18" s="478">
        <v>0</v>
      </c>
      <c r="Y18" s="478"/>
      <c r="Z18" s="479"/>
      <c r="AA18" s="479"/>
      <c r="AB18" s="480">
        <v>205189.49</v>
      </c>
      <c r="AC18" s="481"/>
      <c r="AD18" s="478"/>
      <c r="AE18" s="478"/>
      <c r="AF18" s="482"/>
      <c r="AG18" s="471"/>
      <c r="AH18" s="471"/>
      <c r="AI18" s="471"/>
    </row>
    <row r="19" spans="1:38" x14ac:dyDescent="0.25">
      <c r="B19" t="s">
        <v>1370</v>
      </c>
      <c r="C19" t="s">
        <v>267</v>
      </c>
      <c r="D19" s="472" t="s">
        <v>160</v>
      </c>
      <c r="E19" s="426">
        <v>2466</v>
      </c>
      <c r="F19" s="426" t="s">
        <v>118</v>
      </c>
      <c r="G19" s="473">
        <v>32.680000000000007</v>
      </c>
      <c r="H19" s="474">
        <v>35</v>
      </c>
      <c r="I19" s="474"/>
      <c r="J19" s="474">
        <v>60</v>
      </c>
      <c r="K19" s="460"/>
      <c r="L19" s="460"/>
      <c r="M19" s="475">
        <v>16.903333333333322</v>
      </c>
      <c r="N19" s="475">
        <v>0</v>
      </c>
      <c r="O19" s="476"/>
      <c r="P19" s="463"/>
      <c r="Q19" s="494">
        <v>67613.333333333285</v>
      </c>
      <c r="R19" s="478">
        <v>297500</v>
      </c>
      <c r="S19" s="466"/>
      <c r="T19" s="466"/>
      <c r="U19" s="478">
        <v>262121.46000000011</v>
      </c>
      <c r="V19" s="478"/>
      <c r="W19" s="478">
        <v>135226.66666666657</v>
      </c>
      <c r="X19" s="478">
        <v>0</v>
      </c>
      <c r="Y19" s="478"/>
      <c r="Z19" s="479"/>
      <c r="AA19" s="479"/>
      <c r="AB19" s="480">
        <v>762461.46</v>
      </c>
      <c r="AC19" s="481"/>
      <c r="AD19" s="478"/>
      <c r="AE19" s="478"/>
      <c r="AF19" s="482"/>
      <c r="AG19" s="471"/>
      <c r="AH19" s="471"/>
      <c r="AI19" s="471"/>
    </row>
    <row r="20" spans="1:38" x14ac:dyDescent="0.25">
      <c r="B20" t="s">
        <v>1370</v>
      </c>
      <c r="C20" t="s">
        <v>267</v>
      </c>
      <c r="D20" s="472" t="s">
        <v>160</v>
      </c>
      <c r="E20" s="426">
        <v>3543</v>
      </c>
      <c r="F20" s="426" t="s">
        <v>1137</v>
      </c>
      <c r="G20" s="473">
        <v>0</v>
      </c>
      <c r="H20" s="474">
        <v>0</v>
      </c>
      <c r="I20" s="474">
        <v>16</v>
      </c>
      <c r="J20" s="474">
        <v>16</v>
      </c>
      <c r="K20" s="460"/>
      <c r="L20" s="460"/>
      <c r="M20" s="475">
        <v>15.999999999999998</v>
      </c>
      <c r="N20" s="475">
        <v>0</v>
      </c>
      <c r="O20" s="476"/>
      <c r="P20" s="463"/>
      <c r="Q20" s="494">
        <v>63999.999999999993</v>
      </c>
      <c r="R20" s="478">
        <v>95999.999999999985</v>
      </c>
      <c r="S20" s="466"/>
      <c r="T20" s="466"/>
      <c r="U20" s="478">
        <v>0</v>
      </c>
      <c r="V20" s="478"/>
      <c r="W20" s="478">
        <v>143999.99999999997</v>
      </c>
      <c r="X20" s="478">
        <v>0</v>
      </c>
      <c r="Y20" s="478"/>
      <c r="Z20" s="479"/>
      <c r="AA20" s="479"/>
      <c r="AB20" s="480">
        <v>263999.99999999994</v>
      </c>
      <c r="AC20" s="481"/>
      <c r="AD20" s="478"/>
      <c r="AE20" s="478"/>
      <c r="AF20" s="482"/>
      <c r="AG20" s="471"/>
      <c r="AH20" s="471"/>
      <c r="AI20" s="471"/>
    </row>
    <row r="21" spans="1:38" x14ac:dyDescent="0.25">
      <c r="B21" t="s">
        <v>1370</v>
      </c>
      <c r="C21" t="s">
        <v>267</v>
      </c>
      <c r="D21" s="472" t="s">
        <v>160</v>
      </c>
      <c r="E21" s="426">
        <v>3546</v>
      </c>
      <c r="F21" s="426" t="s">
        <v>134</v>
      </c>
      <c r="G21" s="473">
        <v>16</v>
      </c>
      <c r="H21" s="474"/>
      <c r="I21" s="474">
        <v>26</v>
      </c>
      <c r="J21" s="474">
        <v>26</v>
      </c>
      <c r="K21" s="460"/>
      <c r="L21" s="460"/>
      <c r="M21" s="475">
        <v>10</v>
      </c>
      <c r="N21" s="475">
        <v>0</v>
      </c>
      <c r="O21" s="476"/>
      <c r="P21" s="463"/>
      <c r="Q21" s="494">
        <v>40000</v>
      </c>
      <c r="R21" s="478">
        <v>156000</v>
      </c>
      <c r="S21" s="466"/>
      <c r="T21" s="466"/>
      <c r="U21" s="478">
        <v>133132.75000000003</v>
      </c>
      <c r="V21" s="478"/>
      <c r="W21" s="478">
        <v>80000</v>
      </c>
      <c r="X21" s="478">
        <v>25584.41</v>
      </c>
      <c r="Y21" s="478"/>
      <c r="Z21" s="479"/>
      <c r="AA21" s="479"/>
      <c r="AB21" s="480">
        <v>369717.16</v>
      </c>
      <c r="AC21" s="481"/>
      <c r="AD21" s="478"/>
      <c r="AE21" s="478"/>
      <c r="AF21" s="482"/>
      <c r="AG21" s="471"/>
      <c r="AH21" s="471"/>
      <c r="AI21" s="471"/>
    </row>
    <row r="22" spans="1:38" x14ac:dyDescent="0.25">
      <c r="B22" t="s">
        <v>1370</v>
      </c>
      <c r="C22" t="s">
        <v>199</v>
      </c>
      <c r="D22" s="472" t="s">
        <v>160</v>
      </c>
      <c r="E22" s="426">
        <v>4012</v>
      </c>
      <c r="F22" s="426" t="s">
        <v>1138</v>
      </c>
      <c r="G22" s="473"/>
      <c r="H22" s="474"/>
      <c r="I22" s="474"/>
      <c r="J22" s="474">
        <v>40</v>
      </c>
      <c r="K22" s="460"/>
      <c r="L22" s="460"/>
      <c r="M22" s="475">
        <v>23.333333333333336</v>
      </c>
      <c r="N22" s="475">
        <v>0</v>
      </c>
      <c r="O22" s="476"/>
      <c r="P22" s="463"/>
      <c r="Q22" s="494">
        <v>93333.333333333343</v>
      </c>
      <c r="R22" s="478">
        <v>140000</v>
      </c>
      <c r="S22" s="466"/>
      <c r="T22" s="466"/>
      <c r="U22" s="478"/>
      <c r="V22" s="478"/>
      <c r="W22" s="478">
        <v>186666.66666666669</v>
      </c>
      <c r="X22" s="478">
        <v>0</v>
      </c>
      <c r="Y22" s="478"/>
      <c r="Z22" s="479"/>
      <c r="AA22" s="479"/>
      <c r="AB22" s="480">
        <v>420000</v>
      </c>
      <c r="AC22" s="481"/>
      <c r="AD22" s="478"/>
      <c r="AE22" s="478"/>
      <c r="AF22" s="482"/>
      <c r="AG22" s="471"/>
      <c r="AH22" s="471"/>
      <c r="AI22" s="471"/>
    </row>
    <row r="23" spans="1:38" x14ac:dyDescent="0.25">
      <c r="B23" t="s">
        <v>1370</v>
      </c>
      <c r="C23" t="s">
        <v>199</v>
      </c>
      <c r="D23" s="472" t="s">
        <v>160</v>
      </c>
      <c r="E23" s="426">
        <v>5412</v>
      </c>
      <c r="F23" s="426" t="s">
        <v>1139</v>
      </c>
      <c r="G23" s="473"/>
      <c r="H23" s="474"/>
      <c r="I23" s="474"/>
      <c r="J23" s="474">
        <v>40</v>
      </c>
      <c r="K23" s="460"/>
      <c r="L23" s="460"/>
      <c r="M23" s="475">
        <v>23.333333333333336</v>
      </c>
      <c r="N23" s="475">
        <v>0</v>
      </c>
      <c r="O23" s="476"/>
      <c r="P23" s="463"/>
      <c r="Q23" s="494">
        <v>93333.333333333343</v>
      </c>
      <c r="R23" s="478">
        <v>140000</v>
      </c>
      <c r="S23" s="466"/>
      <c r="T23" s="466"/>
      <c r="U23" s="478"/>
      <c r="V23" s="478"/>
      <c r="W23" s="478">
        <v>186666.66666666669</v>
      </c>
      <c r="X23" s="478">
        <v>0</v>
      </c>
      <c r="Y23" s="478"/>
      <c r="Z23" s="479"/>
      <c r="AA23" s="479"/>
      <c r="AB23" s="480">
        <v>420000</v>
      </c>
      <c r="AC23" s="481"/>
      <c r="AD23" s="478"/>
      <c r="AE23" s="478"/>
      <c r="AF23" s="482"/>
      <c r="AG23" s="471"/>
      <c r="AH23" s="471"/>
      <c r="AI23" s="471"/>
    </row>
    <row r="24" spans="1:38" x14ac:dyDescent="0.25">
      <c r="B24">
        <v>0</v>
      </c>
      <c r="C24">
        <v>0</v>
      </c>
      <c r="D24" s="472"/>
      <c r="E24" s="426"/>
      <c r="F24" s="426"/>
      <c r="G24" s="473"/>
      <c r="H24" s="474"/>
      <c r="I24" s="474"/>
      <c r="J24" s="474"/>
      <c r="K24" s="460"/>
      <c r="L24" s="460"/>
      <c r="M24" s="475"/>
      <c r="N24" s="475"/>
      <c r="O24" s="476"/>
      <c r="P24" s="463"/>
      <c r="Q24" s="477"/>
      <c r="R24" s="478"/>
      <c r="S24" s="466"/>
      <c r="T24" s="466"/>
      <c r="U24" s="478"/>
      <c r="V24" s="478"/>
      <c r="W24" s="478"/>
      <c r="X24" s="478"/>
      <c r="Y24" s="478"/>
      <c r="Z24" s="479"/>
      <c r="AA24" s="479"/>
      <c r="AB24" s="480"/>
      <c r="AC24" s="481"/>
      <c r="AD24" s="478"/>
      <c r="AE24" s="478"/>
      <c r="AF24" s="482"/>
      <c r="AG24" s="471"/>
      <c r="AH24" s="471"/>
      <c r="AI24" s="471"/>
    </row>
    <row r="25" spans="1:38" x14ac:dyDescent="0.25">
      <c r="D25" s="472"/>
      <c r="E25" s="426"/>
      <c r="F25" s="426"/>
      <c r="G25" s="473"/>
      <c r="H25" s="474"/>
      <c r="I25" s="474"/>
      <c r="J25" s="474"/>
      <c r="K25" s="474"/>
      <c r="L25" s="474"/>
      <c r="M25" s="475"/>
      <c r="N25" s="475"/>
      <c r="O25" s="476"/>
      <c r="P25" s="463"/>
      <c r="Q25" s="477"/>
      <c r="R25" s="478"/>
      <c r="S25" s="466"/>
      <c r="T25" s="466"/>
      <c r="U25" s="478"/>
      <c r="V25" s="478"/>
      <c r="W25" s="478"/>
      <c r="X25" s="478"/>
      <c r="Y25" s="478"/>
      <c r="Z25" s="479"/>
      <c r="AA25" s="479"/>
      <c r="AB25" s="480"/>
      <c r="AC25" s="481"/>
      <c r="AD25" s="478"/>
      <c r="AE25" s="478"/>
      <c r="AF25" s="482"/>
      <c r="AG25" s="471"/>
      <c r="AH25" s="471"/>
      <c r="AI25" s="471"/>
    </row>
    <row r="26" spans="1:38" ht="14.5" x14ac:dyDescent="0.35">
      <c r="A26" s="495" t="s">
        <v>1131</v>
      </c>
      <c r="B26" t="s">
        <v>1370</v>
      </c>
      <c r="C26" t="s">
        <v>1371</v>
      </c>
      <c r="D26" s="472" t="s">
        <v>1140</v>
      </c>
      <c r="E26" s="426">
        <v>7026</v>
      </c>
      <c r="F26" s="426" t="s">
        <v>265</v>
      </c>
      <c r="G26" s="473">
        <v>90.26</v>
      </c>
      <c r="H26" s="474">
        <v>88</v>
      </c>
      <c r="I26" s="474"/>
      <c r="J26" s="474">
        <v>88</v>
      </c>
      <c r="K26" s="474">
        <v>11</v>
      </c>
      <c r="L26" s="474">
        <v>11</v>
      </c>
      <c r="M26" s="475">
        <v>5.4099999999999948</v>
      </c>
      <c r="N26" s="475">
        <v>0</v>
      </c>
      <c r="O26" s="476">
        <v>3.33</v>
      </c>
      <c r="P26" s="463"/>
      <c r="Q26" s="496"/>
      <c r="R26" s="497"/>
      <c r="S26" s="479">
        <v>990000</v>
      </c>
      <c r="T26" s="479">
        <v>65340</v>
      </c>
      <c r="U26" s="478">
        <v>1297397.5999999982</v>
      </c>
      <c r="V26" s="478">
        <v>166351.26</v>
      </c>
      <c r="W26" s="478">
        <v>87495.92999999992</v>
      </c>
      <c r="X26" s="478">
        <v>60140.520000000004</v>
      </c>
      <c r="Y26" s="478">
        <v>88098.12</v>
      </c>
      <c r="Z26" s="479"/>
      <c r="AA26" s="479"/>
      <c r="AB26" s="480">
        <v>2754823.4299999978</v>
      </c>
      <c r="AC26" s="481"/>
      <c r="AD26" s="478">
        <v>1817730</v>
      </c>
      <c r="AE26" s="478"/>
      <c r="AF26" s="482"/>
      <c r="AG26" s="498">
        <v>26658.189999999995</v>
      </c>
      <c r="AH26" s="499">
        <v>24785.342020201999</v>
      </c>
      <c r="AI26" s="499">
        <v>-1872.8479797979962</v>
      </c>
    </row>
    <row r="27" spans="1:38" ht="14.5" x14ac:dyDescent="0.35">
      <c r="B27" t="s">
        <v>1370</v>
      </c>
      <c r="C27" t="s">
        <v>1371</v>
      </c>
      <c r="D27" s="472" t="s">
        <v>1140</v>
      </c>
      <c r="E27" s="426">
        <v>7027</v>
      </c>
      <c r="F27" s="426" t="s">
        <v>1141</v>
      </c>
      <c r="G27" s="473">
        <v>146.30000000000001</v>
      </c>
      <c r="H27" s="474">
        <v>119</v>
      </c>
      <c r="I27" s="474"/>
      <c r="J27" s="474">
        <v>125</v>
      </c>
      <c r="K27" s="474">
        <v>36</v>
      </c>
      <c r="L27" s="474">
        <v>45</v>
      </c>
      <c r="M27" s="475">
        <v>10.699999999999989</v>
      </c>
      <c r="N27" s="475">
        <v>0</v>
      </c>
      <c r="O27" s="476">
        <v>7.5</v>
      </c>
      <c r="P27" s="463"/>
      <c r="Q27" s="496"/>
      <c r="R27" s="497"/>
      <c r="S27" s="479">
        <v>1644999.9999999998</v>
      </c>
      <c r="T27" s="479">
        <v>108569.99999999999</v>
      </c>
      <c r="U27" s="478">
        <v>1048520.6199999973</v>
      </c>
      <c r="V27" s="478">
        <v>516639.02999999997</v>
      </c>
      <c r="W27" s="478">
        <v>114168.99999999988</v>
      </c>
      <c r="X27" s="478">
        <v>139063.50220000002</v>
      </c>
      <c r="Y27" s="478">
        <v>115607.30999999998</v>
      </c>
      <c r="Z27" s="479"/>
      <c r="AA27" s="479"/>
      <c r="AB27" s="480">
        <v>3687569.4621999953</v>
      </c>
      <c r="AC27" s="481"/>
      <c r="AD27" s="478">
        <v>2669000</v>
      </c>
      <c r="AE27" s="478"/>
      <c r="AF27" s="482"/>
      <c r="AG27" s="498">
        <v>21139.82888283379</v>
      </c>
      <c r="AH27" s="499">
        <v>19514.648328267449</v>
      </c>
      <c r="AI27" s="499">
        <v>-1625.180554566341</v>
      </c>
    </row>
    <row r="28" spans="1:38" ht="14.5" x14ac:dyDescent="0.35">
      <c r="D28" s="472" t="s">
        <v>1140</v>
      </c>
      <c r="E28" s="426">
        <v>7027</v>
      </c>
      <c r="F28" s="426" t="s">
        <v>1142</v>
      </c>
      <c r="G28" s="473"/>
      <c r="H28" s="474">
        <v>12</v>
      </c>
      <c r="I28" s="474"/>
      <c r="J28" s="474"/>
      <c r="K28" s="474"/>
      <c r="L28" s="474"/>
      <c r="M28" s="475">
        <v>5</v>
      </c>
      <c r="N28" s="475">
        <v>0</v>
      </c>
      <c r="O28" s="476"/>
      <c r="P28" s="463"/>
      <c r="Q28" s="496"/>
      <c r="R28" s="497"/>
      <c r="S28" s="479">
        <v>50000</v>
      </c>
      <c r="T28" s="479">
        <v>3300</v>
      </c>
      <c r="U28" s="478">
        <v>97650</v>
      </c>
      <c r="V28" s="478">
        <v>0</v>
      </c>
      <c r="W28" s="478"/>
      <c r="X28" s="478"/>
      <c r="Y28" s="478">
        <v>5020.1000000000004</v>
      </c>
      <c r="Z28" s="479"/>
      <c r="AA28" s="479"/>
      <c r="AB28" s="480">
        <v>155970.1</v>
      </c>
      <c r="AC28" s="481"/>
      <c r="AD28" s="478">
        <v>97650</v>
      </c>
      <c r="AE28" s="478"/>
      <c r="AF28" s="482"/>
      <c r="AG28" s="498"/>
      <c r="AH28" s="499"/>
      <c r="AI28" s="499"/>
      <c r="AK28" s="385">
        <v>19530</v>
      </c>
      <c r="AL28">
        <f>AK28*M28</f>
        <v>97650</v>
      </c>
    </row>
    <row r="29" spans="1:38" ht="14.5" x14ac:dyDescent="0.35">
      <c r="B29" t="s">
        <v>1370</v>
      </c>
      <c r="C29" t="s">
        <v>1371</v>
      </c>
      <c r="D29" s="472" t="s">
        <v>1140</v>
      </c>
      <c r="E29" s="426">
        <v>7025</v>
      </c>
      <c r="F29" s="426" t="s">
        <v>1143</v>
      </c>
      <c r="G29" s="473">
        <v>127.24000000000004</v>
      </c>
      <c r="H29" s="474">
        <v>145</v>
      </c>
      <c r="I29" s="474"/>
      <c r="J29" s="474">
        <v>180</v>
      </c>
      <c r="K29" s="474">
        <v>0</v>
      </c>
      <c r="L29" s="474">
        <v>0</v>
      </c>
      <c r="M29" s="475">
        <v>22.756666666666646</v>
      </c>
      <c r="N29" s="475">
        <v>0</v>
      </c>
      <c r="O29" s="476">
        <v>15.42</v>
      </c>
      <c r="P29" s="463"/>
      <c r="Q29" s="496"/>
      <c r="R29" s="497"/>
      <c r="S29" s="479">
        <v>1654166.6666666667</v>
      </c>
      <c r="T29" s="479">
        <v>109175.00000000001</v>
      </c>
      <c r="U29" s="478">
        <v>833215.31999999774</v>
      </c>
      <c r="V29" s="478">
        <v>9399.48</v>
      </c>
      <c r="W29" s="478">
        <v>150307.78333333321</v>
      </c>
      <c r="X29" s="478">
        <v>0</v>
      </c>
      <c r="Y29" s="478">
        <v>93389.28750000002</v>
      </c>
      <c r="Z29" s="479"/>
      <c r="AA29" s="479"/>
      <c r="AB29" s="480">
        <v>2849653.5374999978</v>
      </c>
      <c r="AC29" s="481"/>
      <c r="AD29" s="478">
        <v>1799960</v>
      </c>
      <c r="AE29" s="478"/>
      <c r="AF29" s="482"/>
      <c r="AG29" s="498">
        <v>16803.150000000001</v>
      </c>
      <c r="AH29" s="499">
        <v>15093.892997481093</v>
      </c>
      <c r="AI29" s="499">
        <v>-1709.2570025189088</v>
      </c>
    </row>
    <row r="30" spans="1:38" ht="14.5" x14ac:dyDescent="0.35">
      <c r="B30" t="s">
        <v>1370</v>
      </c>
      <c r="C30" t="s">
        <v>1371</v>
      </c>
      <c r="D30" s="472" t="s">
        <v>1140</v>
      </c>
      <c r="E30" s="426">
        <v>7024</v>
      </c>
      <c r="F30" s="426" t="s">
        <v>1144</v>
      </c>
      <c r="G30" s="473">
        <v>124.18000000000005</v>
      </c>
      <c r="H30" s="474">
        <v>145</v>
      </c>
      <c r="I30" s="474"/>
      <c r="J30" s="474">
        <v>160</v>
      </c>
      <c r="K30" s="474">
        <v>0</v>
      </c>
      <c r="L30" s="474">
        <v>0</v>
      </c>
      <c r="M30" s="475">
        <v>17.489999999999952</v>
      </c>
      <c r="N30" s="475">
        <v>0</v>
      </c>
      <c r="O30" s="476">
        <v>12.08</v>
      </c>
      <c r="P30" s="463"/>
      <c r="Q30" s="496"/>
      <c r="R30" s="497"/>
      <c r="S30" s="479">
        <v>1537500</v>
      </c>
      <c r="T30" s="479">
        <v>101475</v>
      </c>
      <c r="U30" s="478">
        <v>1391620.4499999967</v>
      </c>
      <c r="V30" s="478">
        <v>0</v>
      </c>
      <c r="W30" s="478">
        <v>195503.21999999948</v>
      </c>
      <c r="X30" s="478">
        <v>33089.340000000004</v>
      </c>
      <c r="Y30" s="478">
        <v>110707.6875</v>
      </c>
      <c r="Z30" s="479"/>
      <c r="AA30" s="479"/>
      <c r="AB30" s="480">
        <v>3369895.6974999956</v>
      </c>
      <c r="AC30" s="481"/>
      <c r="AD30" s="478">
        <v>1983380.0000000002</v>
      </c>
      <c r="AE30" s="478"/>
      <c r="AF30" s="482"/>
      <c r="AG30" s="498">
        <v>21681.172944606409</v>
      </c>
      <c r="AH30" s="499">
        <v>19051.189918699165</v>
      </c>
      <c r="AI30" s="499">
        <v>-2629.9830259072442</v>
      </c>
    </row>
    <row r="31" spans="1:38" ht="14.5" x14ac:dyDescent="0.35">
      <c r="B31" t="s">
        <v>1370</v>
      </c>
      <c r="C31" t="s">
        <v>1371</v>
      </c>
      <c r="D31" s="472" t="s">
        <v>1140</v>
      </c>
      <c r="E31" s="426">
        <v>7021</v>
      </c>
      <c r="F31" s="426" t="s">
        <v>1145</v>
      </c>
      <c r="G31" s="473">
        <v>205</v>
      </c>
      <c r="H31" s="474">
        <v>151</v>
      </c>
      <c r="I31" s="474"/>
      <c r="J31" s="474">
        <v>198</v>
      </c>
      <c r="K31" s="474">
        <v>54</v>
      </c>
      <c r="L31" s="474">
        <v>50</v>
      </c>
      <c r="M31" s="475">
        <v>14.750000000000028</v>
      </c>
      <c r="N31" s="475">
        <v>0</v>
      </c>
      <c r="O31" s="476">
        <v>10</v>
      </c>
      <c r="P31" s="463"/>
      <c r="Q31" s="496"/>
      <c r="R31" s="497"/>
      <c r="S31" s="479">
        <v>2297500</v>
      </c>
      <c r="T31" s="479">
        <v>151635</v>
      </c>
      <c r="U31" s="478">
        <v>1311361.4800000016</v>
      </c>
      <c r="V31" s="478">
        <v>568562.31999999937</v>
      </c>
      <c r="W31" s="478">
        <v>134888.75000000026</v>
      </c>
      <c r="X31" s="478">
        <v>153930.50180000003</v>
      </c>
      <c r="Y31" s="478">
        <v>149551.16749999998</v>
      </c>
      <c r="Z31" s="479"/>
      <c r="AA31" s="479">
        <v>94219</v>
      </c>
      <c r="AB31" s="480">
        <v>4861648.2193000074</v>
      </c>
      <c r="AC31" s="481"/>
      <c r="AD31" s="478">
        <v>2637000.0000000005</v>
      </c>
      <c r="AE31" s="478"/>
      <c r="AF31" s="482"/>
      <c r="AG31" s="498">
        <v>19419.349999999999</v>
      </c>
      <c r="AH31" s="499">
        <v>18182.475734494048</v>
      </c>
      <c r="AI31" s="499">
        <v>-1236.8742655059505</v>
      </c>
    </row>
    <row r="32" spans="1:38" ht="13" thickBot="1" x14ac:dyDescent="0.3">
      <c r="A32" s="495" t="s">
        <v>1131</v>
      </c>
      <c r="B32" t="s">
        <v>1095</v>
      </c>
      <c r="C32" t="s">
        <v>1371</v>
      </c>
      <c r="D32" s="457" t="s">
        <v>1140</v>
      </c>
      <c r="E32" s="431">
        <v>7029</v>
      </c>
      <c r="F32" s="431" t="s">
        <v>268</v>
      </c>
      <c r="G32" s="500">
        <v>134.36000000000001</v>
      </c>
      <c r="H32" s="501">
        <v>180</v>
      </c>
      <c r="I32" s="501"/>
      <c r="J32" s="501">
        <v>180</v>
      </c>
      <c r="K32" s="501">
        <v>0</v>
      </c>
      <c r="L32" s="501">
        <v>0</v>
      </c>
      <c r="M32" s="502">
        <v>45.639999999999986</v>
      </c>
      <c r="N32" s="502">
        <v>0</v>
      </c>
      <c r="O32" s="503"/>
      <c r="P32" s="463"/>
      <c r="Q32" s="504"/>
      <c r="R32" s="505"/>
      <c r="S32" s="506">
        <v>1800000</v>
      </c>
      <c r="T32" s="506">
        <v>118800</v>
      </c>
      <c r="U32" s="506">
        <v>2427843.7299999935</v>
      </c>
      <c r="V32" s="506">
        <v>0</v>
      </c>
      <c r="W32" s="506">
        <v>822478.43999999971</v>
      </c>
      <c r="X32" s="506">
        <v>25576.07</v>
      </c>
      <c r="Y32" s="506">
        <v>171487.80000000002</v>
      </c>
      <c r="Z32" s="507"/>
      <c r="AA32" s="507"/>
      <c r="AB32" s="508">
        <v>5366186.0399999926</v>
      </c>
      <c r="AC32" s="509"/>
      <c r="AD32" s="506">
        <v>2880000</v>
      </c>
      <c r="AE32" s="506">
        <v>363780</v>
      </c>
      <c r="AF32" s="470"/>
      <c r="AG32" s="510">
        <v>25361.348965517242</v>
      </c>
      <c r="AH32" s="510">
        <v>23488.020722222183</v>
      </c>
      <c r="AI32" s="510">
        <v>-1873.3282432950582</v>
      </c>
    </row>
    <row r="33" spans="1:35" ht="13" thickBot="1" x14ac:dyDescent="0.3">
      <c r="A33" s="495"/>
      <c r="C33" t="s">
        <v>1146</v>
      </c>
      <c r="D33" s="457" t="s">
        <v>1147</v>
      </c>
      <c r="E33" s="431" t="s">
        <v>269</v>
      </c>
      <c r="F33" s="590" t="s">
        <v>1205</v>
      </c>
      <c r="G33" s="500">
        <v>100</v>
      </c>
      <c r="H33" s="501">
        <v>100</v>
      </c>
      <c r="I33" s="501"/>
      <c r="J33" s="501">
        <v>100</v>
      </c>
      <c r="K33" s="501"/>
      <c r="L33" s="501"/>
      <c r="M33" s="502"/>
      <c r="N33" s="502"/>
      <c r="O33" s="503"/>
      <c r="P33" s="463"/>
      <c r="Q33" s="504"/>
      <c r="R33" s="505"/>
      <c r="S33" s="506">
        <v>1000000</v>
      </c>
      <c r="T33" s="506">
        <v>66000</v>
      </c>
      <c r="U33" s="506">
        <v>1665400</v>
      </c>
      <c r="V33" s="506">
        <v>0</v>
      </c>
      <c r="W33" s="506"/>
      <c r="X33" s="506"/>
      <c r="Y33" s="506">
        <v>100898</v>
      </c>
      <c r="Z33" s="507"/>
      <c r="AA33" s="507"/>
      <c r="AB33" s="508">
        <v>2832298</v>
      </c>
      <c r="AC33" s="509"/>
      <c r="AD33" s="506"/>
      <c r="AE33" s="506"/>
      <c r="AF33" s="470"/>
      <c r="AG33" s="510"/>
      <c r="AH33" s="510"/>
      <c r="AI33" s="510">
        <v>0</v>
      </c>
    </row>
    <row r="34" spans="1:35" ht="14.5" x14ac:dyDescent="0.35">
      <c r="C34" t="s">
        <v>1146</v>
      </c>
      <c r="D34" s="472" t="s">
        <v>1148</v>
      </c>
      <c r="E34" s="426" t="s">
        <v>1154</v>
      </c>
      <c r="F34" s="426" t="s">
        <v>1149</v>
      </c>
      <c r="G34" s="473"/>
      <c r="H34" s="474">
        <v>10</v>
      </c>
      <c r="I34" s="474"/>
      <c r="J34" s="474">
        <v>10</v>
      </c>
      <c r="K34" s="474"/>
      <c r="L34" s="474"/>
      <c r="M34" s="475">
        <v>10</v>
      </c>
      <c r="N34" s="475"/>
      <c r="O34" s="476"/>
      <c r="P34" s="463"/>
      <c r="Q34" s="496"/>
      <c r="R34" s="497"/>
      <c r="S34" s="479">
        <v>100000</v>
      </c>
      <c r="T34" s="479">
        <v>33000</v>
      </c>
      <c r="U34" s="478"/>
      <c r="V34" s="478">
        <v>0</v>
      </c>
      <c r="W34" s="478">
        <v>50000</v>
      </c>
      <c r="X34" s="478"/>
      <c r="Y34" s="478">
        <v>40719.5</v>
      </c>
      <c r="Z34" s="479"/>
      <c r="AA34" s="479"/>
      <c r="AB34" s="480">
        <v>223719.5</v>
      </c>
      <c r="AC34" s="481"/>
      <c r="AD34" s="478"/>
      <c r="AE34" s="478"/>
      <c r="AF34" s="482"/>
      <c r="AG34" s="498"/>
      <c r="AH34" s="499"/>
      <c r="AI34" s="499"/>
    </row>
    <row r="35" spans="1:35" ht="13" thickBot="1" x14ac:dyDescent="0.3">
      <c r="M35" s="511"/>
      <c r="N35" s="511"/>
      <c r="P35" s="463"/>
      <c r="Q35" s="410"/>
      <c r="R35" s="410"/>
      <c r="S35" s="410"/>
      <c r="T35" s="410"/>
      <c r="U35" s="410"/>
      <c r="V35" s="410"/>
      <c r="W35" s="410"/>
      <c r="X35" s="410"/>
      <c r="Y35" s="410"/>
      <c r="Z35" s="410"/>
      <c r="AA35" s="410"/>
      <c r="AB35" s="410"/>
      <c r="AC35" s="410"/>
      <c r="AD35" s="410"/>
      <c r="AE35" s="410"/>
      <c r="AH35" s="385"/>
      <c r="AI35" s="385"/>
    </row>
    <row r="36" spans="1:35" ht="16" thickBot="1" x14ac:dyDescent="0.4">
      <c r="A36" s="512"/>
      <c r="B36" s="512"/>
      <c r="C36" s="512"/>
      <c r="D36" s="512"/>
      <c r="E36" s="512"/>
      <c r="F36" s="513" t="s">
        <v>197</v>
      </c>
      <c r="G36" s="514">
        <v>2206.16</v>
      </c>
      <c r="H36" s="514">
        <v>1123</v>
      </c>
      <c r="I36" s="514"/>
      <c r="J36" s="514">
        <v>1411</v>
      </c>
      <c r="K36" s="514">
        <v>101</v>
      </c>
      <c r="L36" s="514">
        <v>106</v>
      </c>
      <c r="M36" s="515">
        <v>282.68999999999994</v>
      </c>
      <c r="N36" s="515">
        <v>2.5266666666666779</v>
      </c>
      <c r="O36" s="514">
        <v>63.51</v>
      </c>
      <c r="P36" s="516"/>
      <c r="Q36" s="517">
        <v>518280</v>
      </c>
      <c r="R36" s="517">
        <f>SUM(R5:R29)</f>
        <v>1982500</v>
      </c>
      <c r="S36" s="517">
        <v>11074166.666666668</v>
      </c>
      <c r="T36" s="517">
        <v>757295</v>
      </c>
      <c r="U36" s="517">
        <v>23345257.75822806</v>
      </c>
      <c r="V36" s="517">
        <v>1260952.0899999994</v>
      </c>
      <c r="W36" s="517">
        <v>2707053.1233333321</v>
      </c>
      <c r="X36" s="517">
        <v>481252.11400000006</v>
      </c>
      <c r="Y36" s="517">
        <v>875478.97250000003</v>
      </c>
      <c r="Z36" s="517">
        <v>0</v>
      </c>
      <c r="AA36" s="517">
        <v>94219</v>
      </c>
      <c r="AB36" s="518">
        <v>35548809.194128074</v>
      </c>
      <c r="AC36" s="519"/>
      <c r="AD36" s="517"/>
      <c r="AE36" s="517"/>
      <c r="AF36" s="520"/>
      <c r="AG36" s="520"/>
      <c r="AH36" s="512"/>
      <c r="AI36" s="512"/>
    </row>
    <row r="37" spans="1:35" ht="13" x14ac:dyDescent="0.3">
      <c r="G37" s="280">
        <v>98.999999999997272</v>
      </c>
      <c r="M37" s="511"/>
      <c r="N37" s="511"/>
      <c r="U37" s="521">
        <v>1752112.5100000538</v>
      </c>
      <c r="V37" s="521"/>
      <c r="W37" s="522"/>
      <c r="AD37" s="521"/>
      <c r="AE37" s="521"/>
    </row>
    <row r="38" spans="1:35" x14ac:dyDescent="0.25">
      <c r="M38" s="511"/>
      <c r="N38" s="511"/>
      <c r="U38" s="404"/>
      <c r="V38" s="404"/>
      <c r="AD38" s="404"/>
      <c r="AE38" s="404"/>
    </row>
    <row r="39" spans="1:35" x14ac:dyDescent="0.25">
      <c r="M39" s="511"/>
      <c r="N39" s="511"/>
    </row>
    <row r="40" spans="1:35" x14ac:dyDescent="0.25">
      <c r="M40" s="511"/>
      <c r="N40" s="511"/>
    </row>
    <row r="41" spans="1:35" x14ac:dyDescent="0.25">
      <c r="M41" s="511"/>
      <c r="N41" s="511"/>
    </row>
    <row r="42" spans="1:35" x14ac:dyDescent="0.25">
      <c r="M42" s="511"/>
      <c r="N42" s="511"/>
    </row>
    <row r="43" spans="1:35" x14ac:dyDescent="0.25">
      <c r="M43" s="511"/>
      <c r="N43" s="511"/>
    </row>
  </sheetData>
  <sheetProtection algorithmName="SHA-512" hashValue="i03XagUVx6eyfATQEc2vTkIzwHajmnwsOhS3/gYKjW5yZfiZY/gekZYD0A7AHc9XWHnByfR2bv1iqb1a9JldYQ==" saltValue="LcQsS1xaO34fnIwLDALV8A==" spinCount="100000" sheet="1" objects="1" scenarios="1"/>
  <mergeCells count="6">
    <mergeCell ref="S2:T2"/>
    <mergeCell ref="A1:A2"/>
    <mergeCell ref="G1:O1"/>
    <mergeCell ref="H2:J2"/>
    <mergeCell ref="K2:L2"/>
    <mergeCell ref="Q2:R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6350-5D33-4381-8756-79C463DC150E}">
  <sheetPr codeName="Sheet22">
    <tabColor rgb="FF7030A0"/>
  </sheetPr>
  <dimension ref="A1:BK95"/>
  <sheetViews>
    <sheetView workbookViewId="0">
      <selection activeCell="M6" sqref="M6:N6"/>
    </sheetView>
  </sheetViews>
  <sheetFormatPr defaultRowHeight="12.5" x14ac:dyDescent="0.25"/>
  <sheetData>
    <row r="1" spans="1:63" x14ac:dyDescent="0.25">
      <c r="A1" t="s">
        <v>1171</v>
      </c>
    </row>
    <row r="3" spans="1:63" x14ac:dyDescent="0.25">
      <c r="A3">
        <v>1</v>
      </c>
      <c r="B3">
        <v>2</v>
      </c>
      <c r="C3">
        <v>3</v>
      </c>
      <c r="D3">
        <v>4</v>
      </c>
      <c r="E3">
        <v>5</v>
      </c>
      <c r="F3">
        <v>6</v>
      </c>
      <c r="G3">
        <v>7</v>
      </c>
      <c r="H3">
        <v>8</v>
      </c>
      <c r="I3">
        <v>9</v>
      </c>
      <c r="J3">
        <v>10</v>
      </c>
      <c r="K3">
        <v>11</v>
      </c>
      <c r="L3">
        <v>12</v>
      </c>
      <c r="M3">
        <v>13</v>
      </c>
      <c r="N3">
        <v>14</v>
      </c>
      <c r="O3">
        <v>15</v>
      </c>
      <c r="P3">
        <v>16</v>
      </c>
      <c r="Q3">
        <v>17</v>
      </c>
      <c r="R3">
        <v>18</v>
      </c>
      <c r="S3">
        <v>19</v>
      </c>
      <c r="T3">
        <v>20</v>
      </c>
      <c r="U3">
        <v>21</v>
      </c>
      <c r="V3">
        <v>22</v>
      </c>
      <c r="W3">
        <v>23</v>
      </c>
      <c r="X3">
        <v>24</v>
      </c>
      <c r="Y3">
        <v>25</v>
      </c>
      <c r="Z3">
        <v>26</v>
      </c>
      <c r="AA3">
        <v>27</v>
      </c>
      <c r="AB3">
        <v>28</v>
      </c>
      <c r="AC3">
        <v>29</v>
      </c>
      <c r="AD3">
        <v>30</v>
      </c>
      <c r="AE3">
        <v>31</v>
      </c>
      <c r="AF3">
        <v>32</v>
      </c>
      <c r="AG3">
        <v>33</v>
      </c>
      <c r="AH3">
        <v>34</v>
      </c>
      <c r="AI3">
        <v>35</v>
      </c>
      <c r="AJ3">
        <v>36</v>
      </c>
      <c r="AK3">
        <v>37</v>
      </c>
      <c r="AL3">
        <v>38</v>
      </c>
      <c r="AM3">
        <v>39</v>
      </c>
      <c r="AN3">
        <v>40</v>
      </c>
      <c r="AO3">
        <v>41</v>
      </c>
      <c r="AP3">
        <v>42</v>
      </c>
      <c r="AQ3">
        <v>43</v>
      </c>
      <c r="AR3">
        <v>44</v>
      </c>
      <c r="AS3">
        <v>45</v>
      </c>
      <c r="AT3">
        <v>46</v>
      </c>
      <c r="AU3">
        <v>47</v>
      </c>
      <c r="AV3">
        <v>48</v>
      </c>
      <c r="AW3">
        <v>49</v>
      </c>
      <c r="AX3">
        <v>50</v>
      </c>
      <c r="AY3">
        <v>51</v>
      </c>
      <c r="AZ3">
        <v>52</v>
      </c>
      <c r="BA3">
        <v>53</v>
      </c>
      <c r="BB3">
        <v>54</v>
      </c>
      <c r="BC3">
        <v>55</v>
      </c>
      <c r="BD3">
        <v>56</v>
      </c>
      <c r="BE3">
        <v>57</v>
      </c>
      <c r="BF3">
        <v>58</v>
      </c>
      <c r="BG3">
        <v>59</v>
      </c>
      <c r="BH3">
        <v>60</v>
      </c>
      <c r="BI3">
        <v>61</v>
      </c>
      <c r="BJ3">
        <v>62</v>
      </c>
      <c r="BK3">
        <v>63</v>
      </c>
    </row>
    <row r="4" spans="1:63" ht="174" x14ac:dyDescent="0.25">
      <c r="A4" s="553" t="s">
        <v>270</v>
      </c>
      <c r="B4" s="550" t="s">
        <v>0</v>
      </c>
      <c r="C4" s="554" t="s">
        <v>1</v>
      </c>
      <c r="D4" s="554" t="s">
        <v>2</v>
      </c>
      <c r="E4" s="554" t="s">
        <v>3</v>
      </c>
      <c r="F4" s="554" t="s">
        <v>4</v>
      </c>
      <c r="G4" s="555" t="s">
        <v>5</v>
      </c>
      <c r="H4" s="555" t="s">
        <v>6</v>
      </c>
      <c r="I4" s="555" t="s">
        <v>7</v>
      </c>
      <c r="J4" s="555" t="s">
        <v>8</v>
      </c>
      <c r="K4" s="555" t="s">
        <v>9</v>
      </c>
      <c r="L4" s="555" t="s">
        <v>10</v>
      </c>
      <c r="M4" s="550" t="s">
        <v>11</v>
      </c>
      <c r="N4" s="550" t="s">
        <v>12</v>
      </c>
      <c r="O4" s="550" t="s">
        <v>13</v>
      </c>
      <c r="P4" s="550" t="s">
        <v>14</v>
      </c>
      <c r="Q4" s="550" t="s">
        <v>15</v>
      </c>
      <c r="R4" s="550" t="s">
        <v>16</v>
      </c>
      <c r="S4" s="550" t="s">
        <v>17</v>
      </c>
      <c r="T4" s="550" t="s">
        <v>18</v>
      </c>
      <c r="U4" s="550" t="s">
        <v>19</v>
      </c>
      <c r="V4" s="550" t="s">
        <v>20</v>
      </c>
      <c r="W4" s="550" t="s">
        <v>21</v>
      </c>
      <c r="X4" s="550" t="s">
        <v>22</v>
      </c>
      <c r="Y4" s="550" t="s">
        <v>23</v>
      </c>
      <c r="Z4" s="550" t="s">
        <v>777</v>
      </c>
      <c r="AA4" s="556" t="s">
        <v>24</v>
      </c>
      <c r="AB4" s="555" t="s">
        <v>25</v>
      </c>
      <c r="AC4" s="555" t="s">
        <v>26</v>
      </c>
      <c r="AD4" s="555" t="s">
        <v>27</v>
      </c>
      <c r="AE4" s="555" t="s">
        <v>28</v>
      </c>
      <c r="AF4" s="555" t="s">
        <v>29</v>
      </c>
      <c r="AG4" s="555" t="s">
        <v>30</v>
      </c>
      <c r="AH4" s="555" t="s">
        <v>31</v>
      </c>
      <c r="AI4" s="555" t="s">
        <v>32</v>
      </c>
      <c r="AJ4" s="555" t="s">
        <v>33</v>
      </c>
      <c r="AK4" s="555" t="s">
        <v>34</v>
      </c>
      <c r="AL4" s="555" t="s">
        <v>35</v>
      </c>
      <c r="AM4" s="555" t="s">
        <v>36</v>
      </c>
      <c r="AN4" s="555" t="s">
        <v>37</v>
      </c>
      <c r="AO4" s="555" t="s">
        <v>38</v>
      </c>
      <c r="AP4" s="555" t="s">
        <v>39</v>
      </c>
      <c r="AQ4" s="555" t="s">
        <v>40</v>
      </c>
      <c r="AR4" s="555" t="s">
        <v>41</v>
      </c>
      <c r="AS4" s="555" t="s">
        <v>42</v>
      </c>
      <c r="AT4" s="555" t="s">
        <v>43</v>
      </c>
      <c r="AU4" s="555" t="s">
        <v>44</v>
      </c>
      <c r="AV4" s="555" t="s">
        <v>45</v>
      </c>
      <c r="AW4" s="555" t="s">
        <v>46</v>
      </c>
      <c r="AX4" s="555" t="s">
        <v>47</v>
      </c>
      <c r="AY4" s="555" t="s">
        <v>48</v>
      </c>
      <c r="AZ4" s="555" t="s">
        <v>49</v>
      </c>
      <c r="BA4" s="555" t="s">
        <v>50</v>
      </c>
      <c r="BB4" s="557" t="s">
        <v>51</v>
      </c>
      <c r="BC4" s="555" t="s">
        <v>52</v>
      </c>
      <c r="BD4" s="555" t="s">
        <v>53</v>
      </c>
      <c r="BE4" s="555" t="s">
        <v>54</v>
      </c>
      <c r="BF4" s="555" t="s">
        <v>55</v>
      </c>
      <c r="BG4" s="555" t="s">
        <v>56</v>
      </c>
      <c r="BH4" s="555" t="s">
        <v>57</v>
      </c>
      <c r="BI4" s="555" t="s">
        <v>58</v>
      </c>
      <c r="BJ4" s="555" t="s">
        <v>59</v>
      </c>
      <c r="BK4" s="555" t="s">
        <v>60</v>
      </c>
    </row>
    <row r="5" spans="1:63" ht="29" x14ac:dyDescent="0.35">
      <c r="A5" s="543" t="s">
        <v>1203</v>
      </c>
      <c r="B5" s="568"/>
      <c r="C5" s="558" t="s">
        <v>754</v>
      </c>
      <c r="D5" s="558"/>
      <c r="E5" s="558"/>
      <c r="F5" s="559"/>
      <c r="G5" s="559"/>
      <c r="H5" s="559"/>
      <c r="I5" s="559"/>
      <c r="J5" s="559"/>
      <c r="K5" s="559"/>
      <c r="L5" s="559"/>
      <c r="M5" s="551">
        <v>41160.33</v>
      </c>
      <c r="N5" s="551">
        <v>23413.75</v>
      </c>
      <c r="O5" s="551">
        <v>3019</v>
      </c>
      <c r="P5" s="551">
        <v>20394.75</v>
      </c>
      <c r="Q5" s="551">
        <v>17746.580000000002</v>
      </c>
      <c r="R5" s="551">
        <v>10825.58</v>
      </c>
      <c r="S5" s="551">
        <v>6921</v>
      </c>
      <c r="T5" s="551">
        <v>3577.33</v>
      </c>
      <c r="U5" s="551">
        <v>3667.83</v>
      </c>
      <c r="V5" s="551">
        <v>3580.42</v>
      </c>
      <c r="W5" s="551">
        <v>3478</v>
      </c>
      <c r="X5" s="551">
        <v>3443</v>
      </c>
      <c r="Y5" s="551">
        <v>0</v>
      </c>
      <c r="Z5" s="551">
        <v>41160.33</v>
      </c>
      <c r="AA5" s="560">
        <v>85.889701587301587</v>
      </c>
      <c r="AB5" s="551">
        <v>8580.7851662404082</v>
      </c>
      <c r="AC5" s="551">
        <v>8728.3123401534504</v>
      </c>
      <c r="AD5" s="551">
        <v>6048.4364285714291</v>
      </c>
      <c r="AE5" s="551">
        <v>6648.6775913621277</v>
      </c>
      <c r="AF5" s="551">
        <v>9649.2624920984763</v>
      </c>
      <c r="AG5" s="551">
        <v>2740.3888988394979</v>
      </c>
      <c r="AH5" s="551">
        <v>3343.0835096077776</v>
      </c>
      <c r="AI5" s="551">
        <v>1944.3012321326332</v>
      </c>
      <c r="AJ5" s="551">
        <v>2365.039654077857</v>
      </c>
      <c r="AK5" s="551">
        <v>1971.9622705968436</v>
      </c>
      <c r="AL5" s="551">
        <v>1399.7119426469178</v>
      </c>
      <c r="AM5" s="551">
        <v>7990.3279385986407</v>
      </c>
      <c r="AN5" s="551">
        <v>2034.0581188181848</v>
      </c>
      <c r="AO5" s="551">
        <v>2175.2279562987505</v>
      </c>
      <c r="AP5" s="551">
        <v>1365.7792934086665</v>
      </c>
      <c r="AQ5" s="551">
        <v>1694.0879283069539</v>
      </c>
      <c r="AR5" s="551">
        <v>1424.7203746478845</v>
      </c>
      <c r="AS5" s="551">
        <v>1062.37838992092</v>
      </c>
      <c r="AT5" s="551">
        <v>5152.4451442827694</v>
      </c>
      <c r="AU5" s="551">
        <v>800.90078834241478</v>
      </c>
      <c r="AV5" s="551">
        <v>7917.3367278921814</v>
      </c>
      <c r="AW5" s="551">
        <v>1541.8001491158179</v>
      </c>
      <c r="AX5" s="551">
        <v>1617.6998827370953</v>
      </c>
      <c r="AY5" s="551">
        <v>1606.7445699494774</v>
      </c>
      <c r="AZ5" s="551">
        <v>1573.2410935886639</v>
      </c>
      <c r="BA5" s="551">
        <v>1305.9219294788882</v>
      </c>
      <c r="BB5" s="551">
        <v>4366.749150973621</v>
      </c>
      <c r="BC5" s="551">
        <v>556.95700522859602</v>
      </c>
      <c r="BD5" s="551">
        <v>191.7129041650621</v>
      </c>
      <c r="BE5" s="561"/>
      <c r="BF5" s="561"/>
      <c r="BG5" s="562"/>
      <c r="BH5" s="562"/>
      <c r="BI5" s="562"/>
      <c r="BJ5" s="562">
        <v>74.283261802575112</v>
      </c>
      <c r="BK5" s="562">
        <v>15.716738197424892</v>
      </c>
    </row>
    <row r="6" spans="1:63" ht="14.5" x14ac:dyDescent="0.35">
      <c r="A6" s="563">
        <v>131401</v>
      </c>
      <c r="B6" s="563">
        <v>8312001</v>
      </c>
      <c r="C6" s="564" t="s">
        <v>62</v>
      </c>
      <c r="D6" s="538" t="s">
        <v>267</v>
      </c>
      <c r="E6" s="565">
        <v>0</v>
      </c>
      <c r="F6" s="566">
        <v>1</v>
      </c>
      <c r="G6" s="552">
        <v>0</v>
      </c>
      <c r="H6" s="552">
        <v>0</v>
      </c>
      <c r="I6" s="552">
        <v>7</v>
      </c>
      <c r="J6" s="552">
        <v>0</v>
      </c>
      <c r="K6" s="552">
        <v>0</v>
      </c>
      <c r="L6" s="552">
        <v>0</v>
      </c>
      <c r="M6" s="552">
        <v>336</v>
      </c>
      <c r="N6" s="552">
        <v>336</v>
      </c>
      <c r="O6" s="552">
        <v>38</v>
      </c>
      <c r="P6" s="552">
        <v>298</v>
      </c>
      <c r="Q6" s="552">
        <v>0</v>
      </c>
      <c r="R6" s="552">
        <v>0</v>
      </c>
      <c r="S6" s="552">
        <v>0</v>
      </c>
      <c r="T6" s="552">
        <v>0</v>
      </c>
      <c r="U6" s="552">
        <v>0</v>
      </c>
      <c r="V6" s="552">
        <v>0</v>
      </c>
      <c r="W6" s="552">
        <v>0</v>
      </c>
      <c r="X6" s="552">
        <v>0</v>
      </c>
      <c r="Y6" s="552">
        <v>0</v>
      </c>
      <c r="Z6" s="552">
        <v>336</v>
      </c>
      <c r="AA6" s="552">
        <v>48</v>
      </c>
      <c r="AB6" s="552">
        <v>145</v>
      </c>
      <c r="AC6" s="552">
        <v>149.99999999999986</v>
      </c>
      <c r="AD6" s="552">
        <v>0</v>
      </c>
      <c r="AE6" s="552">
        <v>0</v>
      </c>
      <c r="AF6" s="552">
        <v>39.000000000000149</v>
      </c>
      <c r="AG6" s="552">
        <v>65.000000000000014</v>
      </c>
      <c r="AH6" s="552">
        <v>48.999999999999893</v>
      </c>
      <c r="AI6" s="552">
        <v>25</v>
      </c>
      <c r="AJ6" s="552">
        <v>1.9999999999999993</v>
      </c>
      <c r="AK6" s="552">
        <v>79.000000000000128</v>
      </c>
      <c r="AL6" s="552">
        <v>77.000000000000114</v>
      </c>
      <c r="AM6" s="552">
        <v>0</v>
      </c>
      <c r="AN6" s="552">
        <v>0</v>
      </c>
      <c r="AO6" s="552">
        <v>0</v>
      </c>
      <c r="AP6" s="552">
        <v>0</v>
      </c>
      <c r="AQ6" s="552">
        <v>0</v>
      </c>
      <c r="AR6" s="552">
        <v>0</v>
      </c>
      <c r="AS6" s="552">
        <v>0</v>
      </c>
      <c r="AT6" s="552">
        <v>19.297297297297288</v>
      </c>
      <c r="AU6" s="552">
        <v>0</v>
      </c>
      <c r="AV6" s="552">
        <v>129.26481713786325</v>
      </c>
      <c r="AW6" s="552">
        <v>0</v>
      </c>
      <c r="AX6" s="552">
        <v>0</v>
      </c>
      <c r="AY6" s="552">
        <v>0</v>
      </c>
      <c r="AZ6" s="552">
        <v>0</v>
      </c>
      <c r="BA6" s="552">
        <v>0</v>
      </c>
      <c r="BB6" s="552">
        <v>0</v>
      </c>
      <c r="BC6" s="552">
        <v>0</v>
      </c>
      <c r="BD6" s="552">
        <v>0</v>
      </c>
      <c r="BE6" s="552">
        <v>0.501</v>
      </c>
      <c r="BF6" s="552">
        <v>0</v>
      </c>
      <c r="BG6" s="552">
        <v>0</v>
      </c>
      <c r="BH6" s="567">
        <v>0</v>
      </c>
      <c r="BI6" s="552">
        <v>0</v>
      </c>
      <c r="BJ6" s="552">
        <v>1</v>
      </c>
      <c r="BK6" s="552">
        <v>0</v>
      </c>
    </row>
    <row r="7" spans="1:63" ht="14.5" x14ac:dyDescent="0.35">
      <c r="A7" s="563">
        <v>131799</v>
      </c>
      <c r="B7" s="563">
        <v>8312003</v>
      </c>
      <c r="C7" s="564" t="s">
        <v>63</v>
      </c>
      <c r="D7" s="538" t="s">
        <v>267</v>
      </c>
      <c r="E7" s="565">
        <v>0</v>
      </c>
      <c r="F7" s="566">
        <v>1</v>
      </c>
      <c r="G7" s="552">
        <v>0</v>
      </c>
      <c r="H7" s="552">
        <v>0</v>
      </c>
      <c r="I7" s="552">
        <v>7</v>
      </c>
      <c r="J7" s="552">
        <v>0</v>
      </c>
      <c r="K7" s="552">
        <v>0</v>
      </c>
      <c r="L7" s="552">
        <v>0</v>
      </c>
      <c r="M7" s="552">
        <v>197</v>
      </c>
      <c r="N7" s="552">
        <v>197</v>
      </c>
      <c r="O7" s="552">
        <v>30</v>
      </c>
      <c r="P7" s="552">
        <v>167</v>
      </c>
      <c r="Q7" s="552">
        <v>0</v>
      </c>
      <c r="R7" s="552">
        <v>0</v>
      </c>
      <c r="S7" s="552">
        <v>0</v>
      </c>
      <c r="T7" s="552">
        <v>0</v>
      </c>
      <c r="U7" s="552">
        <v>0</v>
      </c>
      <c r="V7" s="552">
        <v>0</v>
      </c>
      <c r="W7" s="552">
        <v>0</v>
      </c>
      <c r="X7" s="552">
        <v>0</v>
      </c>
      <c r="Y7" s="552">
        <v>0</v>
      </c>
      <c r="Z7" s="552">
        <v>197</v>
      </c>
      <c r="AA7" s="552">
        <v>28.142857142857142</v>
      </c>
      <c r="AB7" s="552">
        <v>23</v>
      </c>
      <c r="AC7" s="552">
        <v>24.00000000000006</v>
      </c>
      <c r="AD7" s="552">
        <v>0</v>
      </c>
      <c r="AE7" s="552">
        <v>0</v>
      </c>
      <c r="AF7" s="552">
        <v>192.00000000000009</v>
      </c>
      <c r="AG7" s="552">
        <v>3.0000000000000027</v>
      </c>
      <c r="AH7" s="552">
        <v>1.0000000000000009</v>
      </c>
      <c r="AI7" s="552">
        <v>1.0000000000000009</v>
      </c>
      <c r="AJ7" s="552">
        <v>0</v>
      </c>
      <c r="AK7" s="552">
        <v>0</v>
      </c>
      <c r="AL7" s="552">
        <v>0</v>
      </c>
      <c r="AM7" s="552">
        <v>0</v>
      </c>
      <c r="AN7" s="552">
        <v>0</v>
      </c>
      <c r="AO7" s="552">
        <v>0</v>
      </c>
      <c r="AP7" s="552">
        <v>0</v>
      </c>
      <c r="AQ7" s="552">
        <v>0</v>
      </c>
      <c r="AR7" s="552">
        <v>0</v>
      </c>
      <c r="AS7" s="552">
        <v>0</v>
      </c>
      <c r="AT7" s="552">
        <v>2.3592814371257451</v>
      </c>
      <c r="AU7" s="552">
        <v>0</v>
      </c>
      <c r="AV7" s="552">
        <v>36.934957670865153</v>
      </c>
      <c r="AW7" s="552">
        <v>0</v>
      </c>
      <c r="AX7" s="552">
        <v>0</v>
      </c>
      <c r="AY7" s="552">
        <v>0</v>
      </c>
      <c r="AZ7" s="552">
        <v>0</v>
      </c>
      <c r="BA7" s="552">
        <v>0</v>
      </c>
      <c r="BB7" s="552">
        <v>0</v>
      </c>
      <c r="BC7" s="552">
        <v>0</v>
      </c>
      <c r="BD7" s="552">
        <v>0</v>
      </c>
      <c r="BE7" s="552">
        <v>1.2410000000000001</v>
      </c>
      <c r="BF7" s="552">
        <v>0</v>
      </c>
      <c r="BG7" s="552">
        <v>0</v>
      </c>
      <c r="BH7" s="567">
        <v>0</v>
      </c>
      <c r="BI7" s="552">
        <v>0</v>
      </c>
      <c r="BJ7" s="552">
        <v>1</v>
      </c>
      <c r="BK7" s="552">
        <v>0</v>
      </c>
    </row>
    <row r="8" spans="1:63" ht="14.5" x14ac:dyDescent="0.35">
      <c r="A8" s="563">
        <v>131685</v>
      </c>
      <c r="B8" s="563">
        <v>8312005</v>
      </c>
      <c r="C8" s="564" t="s">
        <v>64</v>
      </c>
      <c r="D8" s="538" t="s">
        <v>267</v>
      </c>
      <c r="E8" s="565">
        <v>0</v>
      </c>
      <c r="F8" s="566">
        <v>1</v>
      </c>
      <c r="G8" s="552">
        <v>0</v>
      </c>
      <c r="H8" s="552">
        <v>0</v>
      </c>
      <c r="I8" s="552">
        <v>7</v>
      </c>
      <c r="J8" s="552">
        <v>0</v>
      </c>
      <c r="K8" s="552">
        <v>0</v>
      </c>
      <c r="L8" s="552">
        <v>0</v>
      </c>
      <c r="M8" s="552">
        <v>311</v>
      </c>
      <c r="N8" s="552">
        <v>311</v>
      </c>
      <c r="O8" s="552">
        <v>45</v>
      </c>
      <c r="P8" s="552">
        <v>266</v>
      </c>
      <c r="Q8" s="552">
        <v>0</v>
      </c>
      <c r="R8" s="552">
        <v>0</v>
      </c>
      <c r="S8" s="552">
        <v>0</v>
      </c>
      <c r="T8" s="552">
        <v>0</v>
      </c>
      <c r="U8" s="552">
        <v>0</v>
      </c>
      <c r="V8" s="552">
        <v>0</v>
      </c>
      <c r="W8" s="552">
        <v>0</v>
      </c>
      <c r="X8" s="552">
        <v>0</v>
      </c>
      <c r="Y8" s="552">
        <v>0</v>
      </c>
      <c r="Z8" s="552">
        <v>311</v>
      </c>
      <c r="AA8" s="552">
        <v>44.428571428571431</v>
      </c>
      <c r="AB8" s="552">
        <v>110.00000000000016</v>
      </c>
      <c r="AC8" s="552">
        <v>114.00000000000013</v>
      </c>
      <c r="AD8" s="552">
        <v>0</v>
      </c>
      <c r="AE8" s="552">
        <v>0</v>
      </c>
      <c r="AF8" s="552">
        <v>10.000000000000012</v>
      </c>
      <c r="AG8" s="552">
        <v>66.000000000000028</v>
      </c>
      <c r="AH8" s="552">
        <v>121.00000000000011</v>
      </c>
      <c r="AI8" s="552">
        <v>1.0000000000000011</v>
      </c>
      <c r="AJ8" s="552">
        <v>22</v>
      </c>
      <c r="AK8" s="552">
        <v>45.999999999999943</v>
      </c>
      <c r="AL8" s="552">
        <v>45.000000000000036</v>
      </c>
      <c r="AM8" s="552">
        <v>0</v>
      </c>
      <c r="AN8" s="552">
        <v>0</v>
      </c>
      <c r="AO8" s="552">
        <v>0</v>
      </c>
      <c r="AP8" s="552">
        <v>0</v>
      </c>
      <c r="AQ8" s="552">
        <v>0</v>
      </c>
      <c r="AR8" s="552">
        <v>0</v>
      </c>
      <c r="AS8" s="552">
        <v>0</v>
      </c>
      <c r="AT8" s="552">
        <v>46.766917293233064</v>
      </c>
      <c r="AU8" s="552">
        <v>0</v>
      </c>
      <c r="AV8" s="552">
        <v>91.197576530612182</v>
      </c>
      <c r="AW8" s="552">
        <v>0</v>
      </c>
      <c r="AX8" s="552">
        <v>0</v>
      </c>
      <c r="AY8" s="552">
        <v>0</v>
      </c>
      <c r="AZ8" s="552">
        <v>0</v>
      </c>
      <c r="BA8" s="552">
        <v>0</v>
      </c>
      <c r="BB8" s="552">
        <v>0</v>
      </c>
      <c r="BC8" s="552">
        <v>7.3399999999999865</v>
      </c>
      <c r="BD8" s="552">
        <v>0</v>
      </c>
      <c r="BE8" s="552">
        <v>0.76</v>
      </c>
      <c r="BF8" s="552">
        <v>0</v>
      </c>
      <c r="BG8" s="552">
        <v>0</v>
      </c>
      <c r="BH8" s="567">
        <v>0</v>
      </c>
      <c r="BI8" s="552">
        <v>0</v>
      </c>
      <c r="BJ8" s="552">
        <v>1</v>
      </c>
      <c r="BK8" s="552">
        <v>0</v>
      </c>
    </row>
    <row r="9" spans="1:63" ht="14.5" x14ac:dyDescent="0.35">
      <c r="A9" s="563">
        <v>112717</v>
      </c>
      <c r="B9" s="563">
        <v>8312405</v>
      </c>
      <c r="C9" s="564" t="s">
        <v>65</v>
      </c>
      <c r="D9" s="538" t="s">
        <v>267</v>
      </c>
      <c r="E9" s="565">
        <v>0</v>
      </c>
      <c r="F9" s="566">
        <v>1</v>
      </c>
      <c r="G9" s="552">
        <v>0</v>
      </c>
      <c r="H9" s="552">
        <v>0</v>
      </c>
      <c r="I9" s="552">
        <v>7</v>
      </c>
      <c r="J9" s="552">
        <v>0</v>
      </c>
      <c r="K9" s="552">
        <v>0</v>
      </c>
      <c r="L9" s="552">
        <v>0</v>
      </c>
      <c r="M9" s="552">
        <v>205</v>
      </c>
      <c r="N9" s="552">
        <v>205</v>
      </c>
      <c r="O9" s="552">
        <v>28</v>
      </c>
      <c r="P9" s="552">
        <v>177</v>
      </c>
      <c r="Q9" s="552">
        <v>0</v>
      </c>
      <c r="R9" s="552">
        <v>0</v>
      </c>
      <c r="S9" s="552">
        <v>0</v>
      </c>
      <c r="T9" s="552">
        <v>0</v>
      </c>
      <c r="U9" s="552">
        <v>0</v>
      </c>
      <c r="V9" s="552">
        <v>0</v>
      </c>
      <c r="W9" s="552">
        <v>0</v>
      </c>
      <c r="X9" s="552">
        <v>0</v>
      </c>
      <c r="Y9" s="552">
        <v>0</v>
      </c>
      <c r="Z9" s="552">
        <v>205</v>
      </c>
      <c r="AA9" s="552">
        <v>29.285714285714285</v>
      </c>
      <c r="AB9" s="552">
        <v>120.99999999999993</v>
      </c>
      <c r="AC9" s="552">
        <v>120.99999999999993</v>
      </c>
      <c r="AD9" s="552">
        <v>0</v>
      </c>
      <c r="AE9" s="552">
        <v>0</v>
      </c>
      <c r="AF9" s="552">
        <v>7.9999999999999911</v>
      </c>
      <c r="AG9" s="552">
        <v>2</v>
      </c>
      <c r="AH9" s="552">
        <v>85.999999999999957</v>
      </c>
      <c r="AI9" s="552">
        <v>13.000000000000009</v>
      </c>
      <c r="AJ9" s="552">
        <v>26.000000000000018</v>
      </c>
      <c r="AK9" s="552">
        <v>69.000000000000099</v>
      </c>
      <c r="AL9" s="552">
        <v>0.99999999999999889</v>
      </c>
      <c r="AM9" s="552">
        <v>0</v>
      </c>
      <c r="AN9" s="552">
        <v>0</v>
      </c>
      <c r="AO9" s="552">
        <v>0</v>
      </c>
      <c r="AP9" s="552">
        <v>0</v>
      </c>
      <c r="AQ9" s="552">
        <v>0</v>
      </c>
      <c r="AR9" s="552">
        <v>0</v>
      </c>
      <c r="AS9" s="552">
        <v>0</v>
      </c>
      <c r="AT9" s="552">
        <v>83.863636363636346</v>
      </c>
      <c r="AU9" s="552">
        <v>0</v>
      </c>
      <c r="AV9" s="552">
        <v>93.559615897572655</v>
      </c>
      <c r="AW9" s="552">
        <v>0</v>
      </c>
      <c r="AX9" s="552">
        <v>0</v>
      </c>
      <c r="AY9" s="552">
        <v>0</v>
      </c>
      <c r="AZ9" s="552">
        <v>0</v>
      </c>
      <c r="BA9" s="552">
        <v>0</v>
      </c>
      <c r="BB9" s="552">
        <v>0</v>
      </c>
      <c r="BC9" s="552">
        <v>0.70000000000000917</v>
      </c>
      <c r="BD9" s="552">
        <v>0</v>
      </c>
      <c r="BE9" s="552">
        <v>0.63</v>
      </c>
      <c r="BF9" s="552">
        <v>0</v>
      </c>
      <c r="BG9" s="552">
        <v>0</v>
      </c>
      <c r="BH9" s="567">
        <v>0</v>
      </c>
      <c r="BI9" s="552">
        <v>0</v>
      </c>
      <c r="BJ9" s="552">
        <v>1</v>
      </c>
      <c r="BK9" s="552">
        <v>0</v>
      </c>
    </row>
    <row r="10" spans="1:63" ht="14.5" x14ac:dyDescent="0.35">
      <c r="A10" s="563">
        <v>112720</v>
      </c>
      <c r="B10" s="563">
        <v>8312409</v>
      </c>
      <c r="C10" s="564" t="s">
        <v>66</v>
      </c>
      <c r="D10" s="538" t="s">
        <v>267</v>
      </c>
      <c r="E10" s="565">
        <v>0</v>
      </c>
      <c r="F10" s="566">
        <v>1</v>
      </c>
      <c r="G10" s="552">
        <v>0</v>
      </c>
      <c r="H10" s="552">
        <v>0</v>
      </c>
      <c r="I10" s="552">
        <v>7</v>
      </c>
      <c r="J10" s="552">
        <v>0</v>
      </c>
      <c r="K10" s="552">
        <v>0</v>
      </c>
      <c r="L10" s="552">
        <v>0</v>
      </c>
      <c r="M10" s="552">
        <v>549</v>
      </c>
      <c r="N10" s="552">
        <v>549</v>
      </c>
      <c r="O10" s="552">
        <v>75</v>
      </c>
      <c r="P10" s="552">
        <v>474</v>
      </c>
      <c r="Q10" s="552">
        <v>0</v>
      </c>
      <c r="R10" s="552">
        <v>0</v>
      </c>
      <c r="S10" s="552">
        <v>0</v>
      </c>
      <c r="T10" s="552">
        <v>0</v>
      </c>
      <c r="U10" s="552">
        <v>0</v>
      </c>
      <c r="V10" s="552">
        <v>0</v>
      </c>
      <c r="W10" s="552">
        <v>0</v>
      </c>
      <c r="X10" s="552">
        <v>0</v>
      </c>
      <c r="Y10" s="552">
        <v>0</v>
      </c>
      <c r="Z10" s="552">
        <v>549</v>
      </c>
      <c r="AA10" s="552">
        <v>78.428571428571431</v>
      </c>
      <c r="AB10" s="552">
        <v>312.99999999999994</v>
      </c>
      <c r="AC10" s="552">
        <v>318.00000000000023</v>
      </c>
      <c r="AD10" s="552">
        <v>0</v>
      </c>
      <c r="AE10" s="552">
        <v>0</v>
      </c>
      <c r="AF10" s="552">
        <v>121.99999999999987</v>
      </c>
      <c r="AG10" s="552">
        <v>6.0000000000000115</v>
      </c>
      <c r="AH10" s="552">
        <v>208.99999999999972</v>
      </c>
      <c r="AI10" s="552">
        <v>117.00000000000018</v>
      </c>
      <c r="AJ10" s="552">
        <v>79.999999999999957</v>
      </c>
      <c r="AK10" s="552">
        <v>8.9999999999999893</v>
      </c>
      <c r="AL10" s="552">
        <v>6.0000000000000115</v>
      </c>
      <c r="AM10" s="552">
        <v>0</v>
      </c>
      <c r="AN10" s="552">
        <v>0</v>
      </c>
      <c r="AO10" s="552">
        <v>0</v>
      </c>
      <c r="AP10" s="552">
        <v>0</v>
      </c>
      <c r="AQ10" s="552">
        <v>0</v>
      </c>
      <c r="AR10" s="552">
        <v>0</v>
      </c>
      <c r="AS10" s="552">
        <v>0</v>
      </c>
      <c r="AT10" s="552">
        <v>240.91139240506337</v>
      </c>
      <c r="AU10" s="552">
        <v>0</v>
      </c>
      <c r="AV10" s="552">
        <v>246.81910377150336</v>
      </c>
      <c r="AW10" s="552">
        <v>0</v>
      </c>
      <c r="AX10" s="552">
        <v>0</v>
      </c>
      <c r="AY10" s="552">
        <v>0</v>
      </c>
      <c r="AZ10" s="552">
        <v>0</v>
      </c>
      <c r="BA10" s="552">
        <v>0</v>
      </c>
      <c r="BB10" s="552">
        <v>0</v>
      </c>
      <c r="BC10" s="552">
        <v>5.0600000000000005</v>
      </c>
      <c r="BD10" s="552">
        <v>0</v>
      </c>
      <c r="BE10" s="552">
        <v>0.49099999999999999</v>
      </c>
      <c r="BF10" s="552">
        <v>0</v>
      </c>
      <c r="BG10" s="552">
        <v>0</v>
      </c>
      <c r="BH10" s="567">
        <v>0</v>
      </c>
      <c r="BI10" s="552">
        <v>0</v>
      </c>
      <c r="BJ10" s="552">
        <v>1</v>
      </c>
      <c r="BK10" s="552">
        <v>0</v>
      </c>
    </row>
    <row r="11" spans="1:63" ht="14.5" x14ac:dyDescent="0.35">
      <c r="A11" s="563">
        <v>112728</v>
      </c>
      <c r="B11" s="563">
        <v>8312424</v>
      </c>
      <c r="C11" s="564" t="s">
        <v>67</v>
      </c>
      <c r="D11" s="538" t="s">
        <v>267</v>
      </c>
      <c r="E11" s="565">
        <v>0</v>
      </c>
      <c r="F11" s="566">
        <v>1</v>
      </c>
      <c r="G11" s="552">
        <v>0</v>
      </c>
      <c r="H11" s="552">
        <v>0</v>
      </c>
      <c r="I11" s="552">
        <v>3</v>
      </c>
      <c r="J11" s="552">
        <v>0</v>
      </c>
      <c r="K11" s="552">
        <v>0</v>
      </c>
      <c r="L11" s="552">
        <v>0</v>
      </c>
      <c r="M11" s="552">
        <v>247</v>
      </c>
      <c r="N11" s="552">
        <v>247</v>
      </c>
      <c r="O11" s="552">
        <v>74</v>
      </c>
      <c r="P11" s="552">
        <v>173</v>
      </c>
      <c r="Q11" s="552">
        <v>0</v>
      </c>
      <c r="R11" s="552">
        <v>0</v>
      </c>
      <c r="S11" s="552">
        <v>0</v>
      </c>
      <c r="T11" s="552">
        <v>0</v>
      </c>
      <c r="U11" s="552">
        <v>0</v>
      </c>
      <c r="V11" s="552">
        <v>0</v>
      </c>
      <c r="W11" s="552">
        <v>0</v>
      </c>
      <c r="X11" s="552">
        <v>0</v>
      </c>
      <c r="Y11" s="552">
        <v>0</v>
      </c>
      <c r="Z11" s="552">
        <v>247</v>
      </c>
      <c r="AA11" s="552">
        <v>82.333333333333329</v>
      </c>
      <c r="AB11" s="552">
        <v>136.99999999999997</v>
      </c>
      <c r="AC11" s="552">
        <v>141.99999999999994</v>
      </c>
      <c r="AD11" s="552">
        <v>0</v>
      </c>
      <c r="AE11" s="552">
        <v>0</v>
      </c>
      <c r="AF11" s="552">
        <v>5.9999999999999991</v>
      </c>
      <c r="AG11" s="552">
        <v>18.999999999999993</v>
      </c>
      <c r="AH11" s="552">
        <v>22.000000000000007</v>
      </c>
      <c r="AI11" s="552">
        <v>105.00000000000006</v>
      </c>
      <c r="AJ11" s="552">
        <v>84</v>
      </c>
      <c r="AK11" s="552">
        <v>5.9999999999999991</v>
      </c>
      <c r="AL11" s="552">
        <v>5.0000000000000036</v>
      </c>
      <c r="AM11" s="552">
        <v>0</v>
      </c>
      <c r="AN11" s="552">
        <v>0</v>
      </c>
      <c r="AO11" s="552">
        <v>0</v>
      </c>
      <c r="AP11" s="552">
        <v>0</v>
      </c>
      <c r="AQ11" s="552">
        <v>0</v>
      </c>
      <c r="AR11" s="552">
        <v>0</v>
      </c>
      <c r="AS11" s="552">
        <v>0</v>
      </c>
      <c r="AT11" s="552">
        <v>188.46242774566477</v>
      </c>
      <c r="AU11" s="552">
        <v>0</v>
      </c>
      <c r="AV11" s="552">
        <v>80.152317880794669</v>
      </c>
      <c r="AW11" s="552">
        <v>0</v>
      </c>
      <c r="AX11" s="552">
        <v>0</v>
      </c>
      <c r="AY11" s="552">
        <v>0</v>
      </c>
      <c r="AZ11" s="552">
        <v>0</v>
      </c>
      <c r="BA11" s="552">
        <v>0</v>
      </c>
      <c r="BB11" s="552">
        <v>0</v>
      </c>
      <c r="BC11" s="552">
        <v>0</v>
      </c>
      <c r="BD11" s="552">
        <v>0</v>
      </c>
      <c r="BE11" s="552">
        <v>0.47</v>
      </c>
      <c r="BF11" s="552">
        <v>0</v>
      </c>
      <c r="BG11" s="552">
        <v>0</v>
      </c>
      <c r="BH11" s="567">
        <v>0</v>
      </c>
      <c r="BI11" s="552">
        <v>0</v>
      </c>
      <c r="BJ11" s="552">
        <v>1</v>
      </c>
      <c r="BK11" s="552">
        <v>0</v>
      </c>
    </row>
    <row r="12" spans="1:63" ht="14.5" x14ac:dyDescent="0.35">
      <c r="A12" s="563">
        <v>112733</v>
      </c>
      <c r="B12" s="563">
        <v>8312429</v>
      </c>
      <c r="C12" s="564" t="s">
        <v>68</v>
      </c>
      <c r="D12" s="538" t="s">
        <v>267</v>
      </c>
      <c r="E12" s="565">
        <v>0</v>
      </c>
      <c r="F12" s="566">
        <v>1</v>
      </c>
      <c r="G12" s="552">
        <v>0</v>
      </c>
      <c r="H12" s="552">
        <v>0</v>
      </c>
      <c r="I12" s="552">
        <v>3</v>
      </c>
      <c r="J12" s="552">
        <v>0</v>
      </c>
      <c r="K12" s="552">
        <v>0</v>
      </c>
      <c r="L12" s="552">
        <v>0</v>
      </c>
      <c r="M12" s="552">
        <v>149</v>
      </c>
      <c r="N12" s="552">
        <v>149</v>
      </c>
      <c r="O12" s="552">
        <v>44</v>
      </c>
      <c r="P12" s="552">
        <v>105</v>
      </c>
      <c r="Q12" s="552">
        <v>0</v>
      </c>
      <c r="R12" s="552">
        <v>0</v>
      </c>
      <c r="S12" s="552">
        <v>0</v>
      </c>
      <c r="T12" s="552">
        <v>0</v>
      </c>
      <c r="U12" s="552">
        <v>0</v>
      </c>
      <c r="V12" s="552">
        <v>0</v>
      </c>
      <c r="W12" s="552">
        <v>0</v>
      </c>
      <c r="X12" s="552">
        <v>0</v>
      </c>
      <c r="Y12" s="552">
        <v>0</v>
      </c>
      <c r="Z12" s="552">
        <v>149</v>
      </c>
      <c r="AA12" s="552">
        <v>49.666666666666664</v>
      </c>
      <c r="AB12" s="552">
        <v>65.999999999999972</v>
      </c>
      <c r="AC12" s="552">
        <v>66.999999999999957</v>
      </c>
      <c r="AD12" s="552">
        <v>0</v>
      </c>
      <c r="AE12" s="552">
        <v>0</v>
      </c>
      <c r="AF12" s="552">
        <v>7.0000000000000036</v>
      </c>
      <c r="AG12" s="552">
        <v>30.000000000000057</v>
      </c>
      <c r="AH12" s="552">
        <v>19.000000000000011</v>
      </c>
      <c r="AI12" s="552">
        <v>45.000000000000007</v>
      </c>
      <c r="AJ12" s="552">
        <v>17.000000000000057</v>
      </c>
      <c r="AK12" s="552">
        <v>5.0000000000000044</v>
      </c>
      <c r="AL12" s="552">
        <v>26</v>
      </c>
      <c r="AM12" s="552">
        <v>0</v>
      </c>
      <c r="AN12" s="552">
        <v>0</v>
      </c>
      <c r="AO12" s="552">
        <v>0</v>
      </c>
      <c r="AP12" s="552">
        <v>0</v>
      </c>
      <c r="AQ12" s="552">
        <v>0</v>
      </c>
      <c r="AR12" s="552">
        <v>0</v>
      </c>
      <c r="AS12" s="552">
        <v>0</v>
      </c>
      <c r="AT12" s="552">
        <v>124.87619047619046</v>
      </c>
      <c r="AU12" s="552">
        <v>0</v>
      </c>
      <c r="AV12" s="552">
        <v>69.533333333333331</v>
      </c>
      <c r="AW12" s="552">
        <v>0</v>
      </c>
      <c r="AX12" s="552">
        <v>0</v>
      </c>
      <c r="AY12" s="552">
        <v>0</v>
      </c>
      <c r="AZ12" s="552">
        <v>0</v>
      </c>
      <c r="BA12" s="552">
        <v>0</v>
      </c>
      <c r="BB12" s="552">
        <v>0</v>
      </c>
      <c r="BC12" s="552">
        <v>3.0599999999999934</v>
      </c>
      <c r="BD12" s="552">
        <v>0</v>
      </c>
      <c r="BE12" s="552">
        <v>0.44900000000000001</v>
      </c>
      <c r="BF12" s="552">
        <v>0</v>
      </c>
      <c r="BG12" s="552">
        <v>0</v>
      </c>
      <c r="BH12" s="567">
        <v>0</v>
      </c>
      <c r="BI12" s="552">
        <v>0</v>
      </c>
      <c r="BJ12" s="552">
        <v>1</v>
      </c>
      <c r="BK12" s="552">
        <v>0</v>
      </c>
    </row>
    <row r="13" spans="1:63" ht="14.5" x14ac:dyDescent="0.35">
      <c r="A13" s="563">
        <v>112739</v>
      </c>
      <c r="B13" s="563">
        <v>8312436</v>
      </c>
      <c r="C13" s="564" t="s">
        <v>69</v>
      </c>
      <c r="D13" s="538" t="s">
        <v>267</v>
      </c>
      <c r="E13" s="565">
        <v>0</v>
      </c>
      <c r="F13" s="566">
        <v>1</v>
      </c>
      <c r="G13" s="552">
        <v>0</v>
      </c>
      <c r="H13" s="552">
        <v>0</v>
      </c>
      <c r="I13" s="552">
        <v>7</v>
      </c>
      <c r="J13" s="552">
        <v>0</v>
      </c>
      <c r="K13" s="552">
        <v>0</v>
      </c>
      <c r="L13" s="552">
        <v>0</v>
      </c>
      <c r="M13" s="552">
        <v>421</v>
      </c>
      <c r="N13" s="552">
        <v>421</v>
      </c>
      <c r="O13" s="552">
        <v>60</v>
      </c>
      <c r="P13" s="552">
        <v>361</v>
      </c>
      <c r="Q13" s="552">
        <v>0</v>
      </c>
      <c r="R13" s="552">
        <v>0</v>
      </c>
      <c r="S13" s="552">
        <v>0</v>
      </c>
      <c r="T13" s="552">
        <v>0</v>
      </c>
      <c r="U13" s="552">
        <v>0</v>
      </c>
      <c r="V13" s="552">
        <v>0</v>
      </c>
      <c r="W13" s="552">
        <v>0</v>
      </c>
      <c r="X13" s="552">
        <v>0</v>
      </c>
      <c r="Y13" s="552">
        <v>0</v>
      </c>
      <c r="Z13" s="552">
        <v>421</v>
      </c>
      <c r="AA13" s="552">
        <v>60.142857142857146</v>
      </c>
      <c r="AB13" s="552">
        <v>104.99999999999979</v>
      </c>
      <c r="AC13" s="552">
        <v>104.99999999999979</v>
      </c>
      <c r="AD13" s="552">
        <v>0</v>
      </c>
      <c r="AE13" s="552">
        <v>0</v>
      </c>
      <c r="AF13" s="552">
        <v>224.99999999999991</v>
      </c>
      <c r="AG13" s="552">
        <v>72</v>
      </c>
      <c r="AH13" s="552">
        <v>77.999999999999957</v>
      </c>
      <c r="AI13" s="552">
        <v>0</v>
      </c>
      <c r="AJ13" s="552">
        <v>7.9999999999999947</v>
      </c>
      <c r="AK13" s="552">
        <v>6.0000000000000062</v>
      </c>
      <c r="AL13" s="552">
        <v>32.000000000000021</v>
      </c>
      <c r="AM13" s="552">
        <v>0</v>
      </c>
      <c r="AN13" s="552">
        <v>0</v>
      </c>
      <c r="AO13" s="552">
        <v>0</v>
      </c>
      <c r="AP13" s="552">
        <v>0</v>
      </c>
      <c r="AQ13" s="552">
        <v>0</v>
      </c>
      <c r="AR13" s="552">
        <v>0</v>
      </c>
      <c r="AS13" s="552">
        <v>0</v>
      </c>
      <c r="AT13" s="552">
        <v>34.488700564971765</v>
      </c>
      <c r="AU13" s="552">
        <v>0</v>
      </c>
      <c r="AV13" s="552">
        <v>111.44964345022967</v>
      </c>
      <c r="AW13" s="552">
        <v>0</v>
      </c>
      <c r="AX13" s="552">
        <v>0</v>
      </c>
      <c r="AY13" s="552">
        <v>0</v>
      </c>
      <c r="AZ13" s="552">
        <v>0</v>
      </c>
      <c r="BA13" s="552">
        <v>0</v>
      </c>
      <c r="BB13" s="552">
        <v>0</v>
      </c>
      <c r="BC13" s="552">
        <v>0</v>
      </c>
      <c r="BD13" s="552">
        <v>0</v>
      </c>
      <c r="BE13" s="552">
        <v>0.66</v>
      </c>
      <c r="BF13" s="552">
        <v>0</v>
      </c>
      <c r="BG13" s="552">
        <v>0</v>
      </c>
      <c r="BH13" s="567">
        <v>0</v>
      </c>
      <c r="BI13" s="552">
        <v>0</v>
      </c>
      <c r="BJ13" s="552">
        <v>1</v>
      </c>
      <c r="BK13" s="552">
        <v>0</v>
      </c>
    </row>
    <row r="14" spans="1:63" ht="14.5" x14ac:dyDescent="0.35">
      <c r="A14" s="563">
        <v>112740</v>
      </c>
      <c r="B14" s="563">
        <v>8312439</v>
      </c>
      <c r="C14" s="564" t="s">
        <v>70</v>
      </c>
      <c r="D14" s="538" t="s">
        <v>267</v>
      </c>
      <c r="E14" s="565">
        <v>0</v>
      </c>
      <c r="F14" s="566">
        <v>1</v>
      </c>
      <c r="G14" s="552">
        <v>0</v>
      </c>
      <c r="H14" s="552">
        <v>0</v>
      </c>
      <c r="I14" s="552">
        <v>3</v>
      </c>
      <c r="J14" s="552">
        <v>0</v>
      </c>
      <c r="K14" s="552">
        <v>0</v>
      </c>
      <c r="L14" s="552">
        <v>0</v>
      </c>
      <c r="M14" s="552">
        <v>172</v>
      </c>
      <c r="N14" s="552">
        <v>172</v>
      </c>
      <c r="O14" s="552">
        <v>55</v>
      </c>
      <c r="P14" s="552">
        <v>117</v>
      </c>
      <c r="Q14" s="552">
        <v>0</v>
      </c>
      <c r="R14" s="552">
        <v>0</v>
      </c>
      <c r="S14" s="552">
        <v>0</v>
      </c>
      <c r="T14" s="552">
        <v>0</v>
      </c>
      <c r="U14" s="552">
        <v>0</v>
      </c>
      <c r="V14" s="552">
        <v>0</v>
      </c>
      <c r="W14" s="552">
        <v>0</v>
      </c>
      <c r="X14" s="552">
        <v>0</v>
      </c>
      <c r="Y14" s="552">
        <v>0</v>
      </c>
      <c r="Z14" s="552">
        <v>172</v>
      </c>
      <c r="AA14" s="552">
        <v>57.333333333333336</v>
      </c>
      <c r="AB14" s="552">
        <v>21.000000000000007</v>
      </c>
      <c r="AC14" s="552">
        <v>21.000000000000007</v>
      </c>
      <c r="AD14" s="552">
        <v>0</v>
      </c>
      <c r="AE14" s="552">
        <v>0</v>
      </c>
      <c r="AF14" s="552">
        <v>143.99999999999994</v>
      </c>
      <c r="AG14" s="552">
        <v>13</v>
      </c>
      <c r="AH14" s="552">
        <v>8.9999999999999929</v>
      </c>
      <c r="AI14" s="552">
        <v>0.99999999999999956</v>
      </c>
      <c r="AJ14" s="552">
        <v>2.0000000000000022</v>
      </c>
      <c r="AK14" s="552">
        <v>3.0000000000000036</v>
      </c>
      <c r="AL14" s="552">
        <v>0</v>
      </c>
      <c r="AM14" s="552">
        <v>0</v>
      </c>
      <c r="AN14" s="552">
        <v>0</v>
      </c>
      <c r="AO14" s="552">
        <v>0</v>
      </c>
      <c r="AP14" s="552">
        <v>0</v>
      </c>
      <c r="AQ14" s="552">
        <v>0</v>
      </c>
      <c r="AR14" s="552">
        <v>0</v>
      </c>
      <c r="AS14" s="552">
        <v>0</v>
      </c>
      <c r="AT14" s="552">
        <v>10.469565217391304</v>
      </c>
      <c r="AU14" s="552">
        <v>0</v>
      </c>
      <c r="AV14" s="552">
        <v>51.752212389380517</v>
      </c>
      <c r="AW14" s="552">
        <v>0</v>
      </c>
      <c r="AX14" s="552">
        <v>0</v>
      </c>
      <c r="AY14" s="552">
        <v>0</v>
      </c>
      <c r="AZ14" s="552">
        <v>0</v>
      </c>
      <c r="BA14" s="552">
        <v>0</v>
      </c>
      <c r="BB14" s="552">
        <v>0</v>
      </c>
      <c r="BC14" s="552">
        <v>0</v>
      </c>
      <c r="BD14" s="552">
        <v>0</v>
      </c>
      <c r="BE14" s="552">
        <v>1.018</v>
      </c>
      <c r="BF14" s="552">
        <v>0</v>
      </c>
      <c r="BG14" s="552">
        <v>0</v>
      </c>
      <c r="BH14" s="567">
        <v>0</v>
      </c>
      <c r="BI14" s="552">
        <v>0</v>
      </c>
      <c r="BJ14" s="552">
        <v>1</v>
      </c>
      <c r="BK14" s="552">
        <v>0</v>
      </c>
    </row>
    <row r="15" spans="1:63" ht="14.5" x14ac:dyDescent="0.35">
      <c r="A15" s="563">
        <v>112744</v>
      </c>
      <c r="B15" s="563">
        <v>8312443</v>
      </c>
      <c r="C15" s="564" t="s">
        <v>71</v>
      </c>
      <c r="D15" s="538" t="s">
        <v>267</v>
      </c>
      <c r="E15" s="565">
        <v>0</v>
      </c>
      <c r="F15" s="566">
        <v>1</v>
      </c>
      <c r="G15" s="552">
        <v>0</v>
      </c>
      <c r="H15" s="552">
        <v>0</v>
      </c>
      <c r="I15" s="552">
        <v>3</v>
      </c>
      <c r="J15" s="552">
        <v>0</v>
      </c>
      <c r="K15" s="552">
        <v>0</v>
      </c>
      <c r="L15" s="552">
        <v>0</v>
      </c>
      <c r="M15" s="552">
        <v>269</v>
      </c>
      <c r="N15" s="552">
        <v>269</v>
      </c>
      <c r="O15" s="552">
        <v>89</v>
      </c>
      <c r="P15" s="552">
        <v>180</v>
      </c>
      <c r="Q15" s="552">
        <v>0</v>
      </c>
      <c r="R15" s="552">
        <v>0</v>
      </c>
      <c r="S15" s="552">
        <v>0</v>
      </c>
      <c r="T15" s="552">
        <v>0</v>
      </c>
      <c r="U15" s="552">
        <v>0</v>
      </c>
      <c r="V15" s="552">
        <v>0</v>
      </c>
      <c r="W15" s="552">
        <v>0</v>
      </c>
      <c r="X15" s="552">
        <v>0</v>
      </c>
      <c r="Y15" s="552">
        <v>0</v>
      </c>
      <c r="Z15" s="552">
        <v>269</v>
      </c>
      <c r="AA15" s="552">
        <v>89.666666666666671</v>
      </c>
      <c r="AB15" s="552">
        <v>114.99999999999989</v>
      </c>
      <c r="AC15" s="552">
        <v>114.99999999999989</v>
      </c>
      <c r="AD15" s="552">
        <v>0</v>
      </c>
      <c r="AE15" s="552">
        <v>0</v>
      </c>
      <c r="AF15" s="552">
        <v>94.999999999999929</v>
      </c>
      <c r="AG15" s="552">
        <v>36.000000000000036</v>
      </c>
      <c r="AH15" s="552">
        <v>54.00000000000005</v>
      </c>
      <c r="AI15" s="552">
        <v>2.0000000000000009</v>
      </c>
      <c r="AJ15" s="552">
        <v>42.000000000000128</v>
      </c>
      <c r="AK15" s="552">
        <v>15.999999999999993</v>
      </c>
      <c r="AL15" s="552">
        <v>24.000000000000004</v>
      </c>
      <c r="AM15" s="552">
        <v>0</v>
      </c>
      <c r="AN15" s="552">
        <v>0</v>
      </c>
      <c r="AO15" s="552">
        <v>0</v>
      </c>
      <c r="AP15" s="552">
        <v>0</v>
      </c>
      <c r="AQ15" s="552">
        <v>0</v>
      </c>
      <c r="AR15" s="552">
        <v>0</v>
      </c>
      <c r="AS15" s="552">
        <v>0</v>
      </c>
      <c r="AT15" s="552">
        <v>32.877777777777716</v>
      </c>
      <c r="AU15" s="552">
        <v>0</v>
      </c>
      <c r="AV15" s="552">
        <v>70.631284916201054</v>
      </c>
      <c r="AW15" s="552">
        <v>0</v>
      </c>
      <c r="AX15" s="552">
        <v>0</v>
      </c>
      <c r="AY15" s="552">
        <v>0</v>
      </c>
      <c r="AZ15" s="552">
        <v>0</v>
      </c>
      <c r="BA15" s="552">
        <v>0</v>
      </c>
      <c r="BB15" s="552">
        <v>0</v>
      </c>
      <c r="BC15" s="552">
        <v>0</v>
      </c>
      <c r="BD15" s="552">
        <v>0</v>
      </c>
      <c r="BE15" s="552">
        <v>0.74</v>
      </c>
      <c r="BF15" s="552">
        <v>0</v>
      </c>
      <c r="BG15" s="552">
        <v>0</v>
      </c>
      <c r="BH15" s="567">
        <v>0</v>
      </c>
      <c r="BI15" s="552">
        <v>0</v>
      </c>
      <c r="BJ15" s="552">
        <v>1</v>
      </c>
      <c r="BK15" s="552">
        <v>0</v>
      </c>
    </row>
    <row r="16" spans="1:63" ht="14.5" x14ac:dyDescent="0.35">
      <c r="A16" s="563">
        <v>112745</v>
      </c>
      <c r="B16" s="563">
        <v>8312444</v>
      </c>
      <c r="C16" s="564" t="s">
        <v>72</v>
      </c>
      <c r="D16" s="538" t="s">
        <v>267</v>
      </c>
      <c r="E16" s="565">
        <v>0</v>
      </c>
      <c r="F16" s="566">
        <v>1</v>
      </c>
      <c r="G16" s="552">
        <v>0</v>
      </c>
      <c r="H16" s="552">
        <v>0</v>
      </c>
      <c r="I16" s="552">
        <v>3</v>
      </c>
      <c r="J16" s="552">
        <v>0</v>
      </c>
      <c r="K16" s="552">
        <v>0</v>
      </c>
      <c r="L16" s="552">
        <v>0</v>
      </c>
      <c r="M16" s="552">
        <v>170</v>
      </c>
      <c r="N16" s="552">
        <v>170</v>
      </c>
      <c r="O16" s="552">
        <v>54</v>
      </c>
      <c r="P16" s="552">
        <v>116</v>
      </c>
      <c r="Q16" s="552">
        <v>0</v>
      </c>
      <c r="R16" s="552">
        <v>0</v>
      </c>
      <c r="S16" s="552">
        <v>0</v>
      </c>
      <c r="T16" s="552">
        <v>0</v>
      </c>
      <c r="U16" s="552">
        <v>0</v>
      </c>
      <c r="V16" s="552">
        <v>0</v>
      </c>
      <c r="W16" s="552">
        <v>0</v>
      </c>
      <c r="X16" s="552">
        <v>0</v>
      </c>
      <c r="Y16" s="552">
        <v>0</v>
      </c>
      <c r="Z16" s="552">
        <v>170</v>
      </c>
      <c r="AA16" s="552">
        <v>56.666666666666664</v>
      </c>
      <c r="AB16" s="552">
        <v>51.999999999999922</v>
      </c>
      <c r="AC16" s="552">
        <v>51.999999999999922</v>
      </c>
      <c r="AD16" s="552">
        <v>0</v>
      </c>
      <c r="AE16" s="552">
        <v>0</v>
      </c>
      <c r="AF16" s="552">
        <v>51.999999999999922</v>
      </c>
      <c r="AG16" s="552">
        <v>59.999999999999957</v>
      </c>
      <c r="AH16" s="552">
        <v>14.000000000000002</v>
      </c>
      <c r="AI16" s="552">
        <v>0</v>
      </c>
      <c r="AJ16" s="552">
        <v>12.999999999999996</v>
      </c>
      <c r="AK16" s="552">
        <v>25.000000000000039</v>
      </c>
      <c r="AL16" s="552">
        <v>5.9999999999999964</v>
      </c>
      <c r="AM16" s="552">
        <v>0</v>
      </c>
      <c r="AN16" s="552">
        <v>0</v>
      </c>
      <c r="AO16" s="552">
        <v>0</v>
      </c>
      <c r="AP16" s="552">
        <v>0</v>
      </c>
      <c r="AQ16" s="552">
        <v>0</v>
      </c>
      <c r="AR16" s="552">
        <v>0</v>
      </c>
      <c r="AS16" s="552">
        <v>0</v>
      </c>
      <c r="AT16" s="552">
        <v>30.775862068965569</v>
      </c>
      <c r="AU16" s="552">
        <v>0</v>
      </c>
      <c r="AV16" s="552">
        <v>48.782608695652144</v>
      </c>
      <c r="AW16" s="552">
        <v>0</v>
      </c>
      <c r="AX16" s="552">
        <v>0</v>
      </c>
      <c r="AY16" s="552">
        <v>0</v>
      </c>
      <c r="AZ16" s="552">
        <v>0</v>
      </c>
      <c r="BA16" s="552">
        <v>0</v>
      </c>
      <c r="BB16" s="552">
        <v>0</v>
      </c>
      <c r="BC16" s="552">
        <v>0</v>
      </c>
      <c r="BD16" s="552">
        <v>0</v>
      </c>
      <c r="BE16" s="552">
        <v>0.95199999999999996</v>
      </c>
      <c r="BF16" s="552">
        <v>0</v>
      </c>
      <c r="BG16" s="552">
        <v>0</v>
      </c>
      <c r="BH16" s="567">
        <v>0</v>
      </c>
      <c r="BI16" s="552">
        <v>0</v>
      </c>
      <c r="BJ16" s="552">
        <v>1</v>
      </c>
      <c r="BK16" s="552">
        <v>0</v>
      </c>
    </row>
    <row r="17" spans="1:63" ht="14.5" x14ac:dyDescent="0.35">
      <c r="A17" s="563">
        <v>112749</v>
      </c>
      <c r="B17" s="563">
        <v>8312449</v>
      </c>
      <c r="C17" s="564" t="s">
        <v>73</v>
      </c>
      <c r="D17" s="538" t="s">
        <v>267</v>
      </c>
      <c r="E17" s="565">
        <v>0</v>
      </c>
      <c r="F17" s="566">
        <v>1</v>
      </c>
      <c r="G17" s="552">
        <v>0</v>
      </c>
      <c r="H17" s="552">
        <v>0</v>
      </c>
      <c r="I17" s="552">
        <v>3</v>
      </c>
      <c r="J17" s="552">
        <v>0</v>
      </c>
      <c r="K17" s="552">
        <v>0</v>
      </c>
      <c r="L17" s="552">
        <v>0</v>
      </c>
      <c r="M17" s="552">
        <v>222</v>
      </c>
      <c r="N17" s="552">
        <v>222</v>
      </c>
      <c r="O17" s="552">
        <v>67</v>
      </c>
      <c r="P17" s="552">
        <v>155</v>
      </c>
      <c r="Q17" s="552">
        <v>0</v>
      </c>
      <c r="R17" s="552">
        <v>0</v>
      </c>
      <c r="S17" s="552">
        <v>0</v>
      </c>
      <c r="T17" s="552">
        <v>0</v>
      </c>
      <c r="U17" s="552">
        <v>0</v>
      </c>
      <c r="V17" s="552">
        <v>0</v>
      </c>
      <c r="W17" s="552">
        <v>0</v>
      </c>
      <c r="X17" s="552">
        <v>0</v>
      </c>
      <c r="Y17" s="552">
        <v>0</v>
      </c>
      <c r="Z17" s="552">
        <v>222</v>
      </c>
      <c r="AA17" s="552">
        <v>74</v>
      </c>
      <c r="AB17" s="552">
        <v>71.000000000000043</v>
      </c>
      <c r="AC17" s="552">
        <v>71.000000000000043</v>
      </c>
      <c r="AD17" s="552">
        <v>0</v>
      </c>
      <c r="AE17" s="552">
        <v>0</v>
      </c>
      <c r="AF17" s="552">
        <v>134.00000000000009</v>
      </c>
      <c r="AG17" s="552">
        <v>51.000000000000057</v>
      </c>
      <c r="AH17" s="552">
        <v>22</v>
      </c>
      <c r="AI17" s="552">
        <v>3.999999999999996</v>
      </c>
      <c r="AJ17" s="552">
        <v>0</v>
      </c>
      <c r="AK17" s="552">
        <v>7.999999999999992</v>
      </c>
      <c r="AL17" s="552">
        <v>2.9999999999999969</v>
      </c>
      <c r="AM17" s="552">
        <v>0</v>
      </c>
      <c r="AN17" s="552">
        <v>0</v>
      </c>
      <c r="AO17" s="552">
        <v>0</v>
      </c>
      <c r="AP17" s="552">
        <v>0</v>
      </c>
      <c r="AQ17" s="552">
        <v>0</v>
      </c>
      <c r="AR17" s="552">
        <v>0</v>
      </c>
      <c r="AS17" s="552">
        <v>0</v>
      </c>
      <c r="AT17" s="552">
        <v>31.509677419354894</v>
      </c>
      <c r="AU17" s="552">
        <v>0</v>
      </c>
      <c r="AV17" s="552">
        <v>81.789473684210435</v>
      </c>
      <c r="AW17" s="552">
        <v>0</v>
      </c>
      <c r="AX17" s="552">
        <v>0</v>
      </c>
      <c r="AY17" s="552">
        <v>0</v>
      </c>
      <c r="AZ17" s="552">
        <v>0</v>
      </c>
      <c r="BA17" s="552">
        <v>0</v>
      </c>
      <c r="BB17" s="552">
        <v>0</v>
      </c>
      <c r="BC17" s="552">
        <v>0</v>
      </c>
      <c r="BD17" s="552">
        <v>0</v>
      </c>
      <c r="BE17" s="552">
        <v>0.68500000000000005</v>
      </c>
      <c r="BF17" s="552">
        <v>0</v>
      </c>
      <c r="BG17" s="552">
        <v>0</v>
      </c>
      <c r="BH17" s="567">
        <v>0</v>
      </c>
      <c r="BI17" s="552">
        <v>0</v>
      </c>
      <c r="BJ17" s="552">
        <v>1</v>
      </c>
      <c r="BK17" s="552">
        <v>0</v>
      </c>
    </row>
    <row r="18" spans="1:63" ht="14.5" x14ac:dyDescent="0.35">
      <c r="A18" s="563">
        <v>112752</v>
      </c>
      <c r="B18" s="563">
        <v>8312452</v>
      </c>
      <c r="C18" s="564" t="s">
        <v>74</v>
      </c>
      <c r="D18" s="538" t="s">
        <v>267</v>
      </c>
      <c r="E18" s="565">
        <v>0</v>
      </c>
      <c r="F18" s="566">
        <v>1</v>
      </c>
      <c r="G18" s="552">
        <v>0</v>
      </c>
      <c r="H18" s="552">
        <v>0</v>
      </c>
      <c r="I18" s="552">
        <v>7</v>
      </c>
      <c r="J18" s="552">
        <v>0</v>
      </c>
      <c r="K18" s="552">
        <v>0</v>
      </c>
      <c r="L18" s="552">
        <v>0</v>
      </c>
      <c r="M18" s="552">
        <v>152</v>
      </c>
      <c r="N18" s="552">
        <v>152</v>
      </c>
      <c r="O18" s="552">
        <v>23</v>
      </c>
      <c r="P18" s="552">
        <v>129</v>
      </c>
      <c r="Q18" s="552">
        <v>0</v>
      </c>
      <c r="R18" s="552">
        <v>0</v>
      </c>
      <c r="S18" s="552">
        <v>0</v>
      </c>
      <c r="T18" s="552">
        <v>0</v>
      </c>
      <c r="U18" s="552">
        <v>0</v>
      </c>
      <c r="V18" s="552">
        <v>0</v>
      </c>
      <c r="W18" s="552">
        <v>0</v>
      </c>
      <c r="X18" s="552">
        <v>0</v>
      </c>
      <c r="Y18" s="552">
        <v>0</v>
      </c>
      <c r="Z18" s="552">
        <v>152</v>
      </c>
      <c r="AA18" s="552">
        <v>21.714285714285715</v>
      </c>
      <c r="AB18" s="552">
        <v>89.000000000000043</v>
      </c>
      <c r="AC18" s="552">
        <v>89.000000000000043</v>
      </c>
      <c r="AD18" s="552">
        <v>0</v>
      </c>
      <c r="AE18" s="552">
        <v>0</v>
      </c>
      <c r="AF18" s="552">
        <v>62.99999999999995</v>
      </c>
      <c r="AG18" s="552">
        <v>7.9999999999999964</v>
      </c>
      <c r="AH18" s="552">
        <v>18.000000000000007</v>
      </c>
      <c r="AI18" s="552">
        <v>0.99999999999999956</v>
      </c>
      <c r="AJ18" s="552">
        <v>55.000000000000021</v>
      </c>
      <c r="AK18" s="552">
        <v>0.99999999999999956</v>
      </c>
      <c r="AL18" s="552">
        <v>5.9999999999999973</v>
      </c>
      <c r="AM18" s="552">
        <v>0</v>
      </c>
      <c r="AN18" s="552">
        <v>0</v>
      </c>
      <c r="AO18" s="552">
        <v>0</v>
      </c>
      <c r="AP18" s="552">
        <v>0</v>
      </c>
      <c r="AQ18" s="552">
        <v>0</v>
      </c>
      <c r="AR18" s="552">
        <v>0</v>
      </c>
      <c r="AS18" s="552">
        <v>0</v>
      </c>
      <c r="AT18" s="552">
        <v>22.387596899224754</v>
      </c>
      <c r="AU18" s="552">
        <v>0</v>
      </c>
      <c r="AV18" s="552">
        <v>48.066524114991694</v>
      </c>
      <c r="AW18" s="552">
        <v>0</v>
      </c>
      <c r="AX18" s="552">
        <v>0</v>
      </c>
      <c r="AY18" s="552">
        <v>0</v>
      </c>
      <c r="AZ18" s="552">
        <v>0</v>
      </c>
      <c r="BA18" s="552">
        <v>0</v>
      </c>
      <c r="BB18" s="552">
        <v>0</v>
      </c>
      <c r="BC18" s="552">
        <v>0.87999999999999556</v>
      </c>
      <c r="BD18" s="552">
        <v>0</v>
      </c>
      <c r="BE18" s="552">
        <v>0.65500000000000003</v>
      </c>
      <c r="BF18" s="552">
        <v>0</v>
      </c>
      <c r="BG18" s="552">
        <v>0</v>
      </c>
      <c r="BH18" s="567">
        <v>0</v>
      </c>
      <c r="BI18" s="552">
        <v>0</v>
      </c>
      <c r="BJ18" s="552">
        <v>1</v>
      </c>
      <c r="BK18" s="552">
        <v>0</v>
      </c>
    </row>
    <row r="19" spans="1:63" ht="14.5" x14ac:dyDescent="0.35">
      <c r="A19" s="563">
        <v>112756</v>
      </c>
      <c r="B19" s="563">
        <v>8312457</v>
      </c>
      <c r="C19" s="564" t="s">
        <v>75</v>
      </c>
      <c r="D19" s="538" t="s">
        <v>267</v>
      </c>
      <c r="E19" s="565">
        <v>0</v>
      </c>
      <c r="F19" s="566">
        <v>1</v>
      </c>
      <c r="G19" s="552">
        <v>0</v>
      </c>
      <c r="H19" s="552">
        <v>0</v>
      </c>
      <c r="I19" s="552">
        <v>4</v>
      </c>
      <c r="J19" s="552">
        <v>0</v>
      </c>
      <c r="K19" s="552">
        <v>0</v>
      </c>
      <c r="L19" s="552">
        <v>0</v>
      </c>
      <c r="M19" s="552">
        <v>358</v>
      </c>
      <c r="N19" s="552">
        <v>358</v>
      </c>
      <c r="O19" s="552">
        <v>0</v>
      </c>
      <c r="P19" s="552">
        <v>358</v>
      </c>
      <c r="Q19" s="552">
        <v>0</v>
      </c>
      <c r="R19" s="552">
        <v>0</v>
      </c>
      <c r="S19" s="552">
        <v>0</v>
      </c>
      <c r="T19" s="552">
        <v>0</v>
      </c>
      <c r="U19" s="552">
        <v>0</v>
      </c>
      <c r="V19" s="552">
        <v>0</v>
      </c>
      <c r="W19" s="552">
        <v>0</v>
      </c>
      <c r="X19" s="552">
        <v>0</v>
      </c>
      <c r="Y19" s="552">
        <v>0</v>
      </c>
      <c r="Z19" s="552">
        <v>358</v>
      </c>
      <c r="AA19" s="552">
        <v>89.5</v>
      </c>
      <c r="AB19" s="552">
        <v>117.00000000000017</v>
      </c>
      <c r="AC19" s="552">
        <v>120.99999999999984</v>
      </c>
      <c r="AD19" s="552">
        <v>0</v>
      </c>
      <c r="AE19" s="552">
        <v>0</v>
      </c>
      <c r="AF19" s="552">
        <v>276</v>
      </c>
      <c r="AG19" s="552">
        <v>0</v>
      </c>
      <c r="AH19" s="552">
        <v>50.999999999999929</v>
      </c>
      <c r="AI19" s="552">
        <v>5.9999999999999822</v>
      </c>
      <c r="AJ19" s="552">
        <v>0</v>
      </c>
      <c r="AK19" s="552">
        <v>25.000000000000007</v>
      </c>
      <c r="AL19" s="552">
        <v>0</v>
      </c>
      <c r="AM19" s="552">
        <v>0</v>
      </c>
      <c r="AN19" s="552">
        <v>0</v>
      </c>
      <c r="AO19" s="552">
        <v>0</v>
      </c>
      <c r="AP19" s="552">
        <v>0</v>
      </c>
      <c r="AQ19" s="552">
        <v>0</v>
      </c>
      <c r="AR19" s="552">
        <v>0</v>
      </c>
      <c r="AS19" s="552">
        <v>0</v>
      </c>
      <c r="AT19" s="552">
        <v>63.000000000000036</v>
      </c>
      <c r="AU19" s="552">
        <v>0</v>
      </c>
      <c r="AV19" s="552">
        <v>126.65193450320152</v>
      </c>
      <c r="AW19" s="552">
        <v>0</v>
      </c>
      <c r="AX19" s="552">
        <v>0</v>
      </c>
      <c r="AY19" s="552">
        <v>0</v>
      </c>
      <c r="AZ19" s="552">
        <v>0</v>
      </c>
      <c r="BA19" s="552">
        <v>0</v>
      </c>
      <c r="BB19" s="552">
        <v>0</v>
      </c>
      <c r="BC19" s="552">
        <v>0</v>
      </c>
      <c r="BD19" s="552">
        <v>0</v>
      </c>
      <c r="BE19" s="552">
        <v>0.73199999999999998</v>
      </c>
      <c r="BF19" s="552">
        <v>0</v>
      </c>
      <c r="BG19" s="552">
        <v>0</v>
      </c>
      <c r="BH19" s="567">
        <v>0</v>
      </c>
      <c r="BI19" s="552">
        <v>0</v>
      </c>
      <c r="BJ19" s="552">
        <v>1</v>
      </c>
      <c r="BK19" s="552">
        <v>0</v>
      </c>
    </row>
    <row r="20" spans="1:63" ht="14.5" x14ac:dyDescent="0.35">
      <c r="A20" s="563">
        <v>112757</v>
      </c>
      <c r="B20" s="563">
        <v>8312458</v>
      </c>
      <c r="C20" s="564" t="s">
        <v>76</v>
      </c>
      <c r="D20" s="538" t="s">
        <v>267</v>
      </c>
      <c r="E20" s="565">
        <v>0</v>
      </c>
      <c r="F20" s="566">
        <v>1</v>
      </c>
      <c r="G20" s="552">
        <v>0</v>
      </c>
      <c r="H20" s="552">
        <v>0</v>
      </c>
      <c r="I20" s="552">
        <v>3</v>
      </c>
      <c r="J20" s="552">
        <v>0</v>
      </c>
      <c r="K20" s="552">
        <v>0</v>
      </c>
      <c r="L20" s="552">
        <v>0</v>
      </c>
      <c r="M20" s="552">
        <v>250</v>
      </c>
      <c r="N20" s="552">
        <v>250</v>
      </c>
      <c r="O20" s="552">
        <v>76</v>
      </c>
      <c r="P20" s="552">
        <v>174</v>
      </c>
      <c r="Q20" s="552">
        <v>0</v>
      </c>
      <c r="R20" s="552">
        <v>0</v>
      </c>
      <c r="S20" s="552">
        <v>0</v>
      </c>
      <c r="T20" s="552">
        <v>0</v>
      </c>
      <c r="U20" s="552">
        <v>0</v>
      </c>
      <c r="V20" s="552">
        <v>0</v>
      </c>
      <c r="W20" s="552">
        <v>0</v>
      </c>
      <c r="X20" s="552">
        <v>0</v>
      </c>
      <c r="Y20" s="552">
        <v>0</v>
      </c>
      <c r="Z20" s="552">
        <v>250</v>
      </c>
      <c r="AA20" s="552">
        <v>83.333333333333329</v>
      </c>
      <c r="AB20" s="552">
        <v>57</v>
      </c>
      <c r="AC20" s="552">
        <v>57</v>
      </c>
      <c r="AD20" s="552">
        <v>0</v>
      </c>
      <c r="AE20" s="552">
        <v>0</v>
      </c>
      <c r="AF20" s="552">
        <v>171</v>
      </c>
      <c r="AG20" s="552">
        <v>3</v>
      </c>
      <c r="AH20" s="552">
        <v>50</v>
      </c>
      <c r="AI20" s="552">
        <v>7</v>
      </c>
      <c r="AJ20" s="552">
        <v>5</v>
      </c>
      <c r="AK20" s="552">
        <v>14</v>
      </c>
      <c r="AL20" s="552">
        <v>0</v>
      </c>
      <c r="AM20" s="552">
        <v>0</v>
      </c>
      <c r="AN20" s="552">
        <v>0</v>
      </c>
      <c r="AO20" s="552">
        <v>0</v>
      </c>
      <c r="AP20" s="552">
        <v>0</v>
      </c>
      <c r="AQ20" s="552">
        <v>0</v>
      </c>
      <c r="AR20" s="552">
        <v>0</v>
      </c>
      <c r="AS20" s="552">
        <v>0</v>
      </c>
      <c r="AT20" s="552">
        <v>150.86206896551724</v>
      </c>
      <c r="AU20" s="552">
        <v>0</v>
      </c>
      <c r="AV20" s="552">
        <v>109.82658959537578</v>
      </c>
      <c r="AW20" s="552">
        <v>0</v>
      </c>
      <c r="AX20" s="552">
        <v>0</v>
      </c>
      <c r="AY20" s="552">
        <v>0</v>
      </c>
      <c r="AZ20" s="552">
        <v>0</v>
      </c>
      <c r="BA20" s="552">
        <v>0</v>
      </c>
      <c r="BB20" s="552">
        <v>0</v>
      </c>
      <c r="BC20" s="552">
        <v>0</v>
      </c>
      <c r="BD20" s="552">
        <v>0</v>
      </c>
      <c r="BE20" s="552">
        <v>0.67300000000000004</v>
      </c>
      <c r="BF20" s="552">
        <v>0</v>
      </c>
      <c r="BG20" s="552">
        <v>0</v>
      </c>
      <c r="BH20" s="567">
        <v>0</v>
      </c>
      <c r="BI20" s="552">
        <v>0</v>
      </c>
      <c r="BJ20" s="552">
        <v>1</v>
      </c>
      <c r="BK20" s="552">
        <v>0</v>
      </c>
    </row>
    <row r="21" spans="1:63" ht="14.5" x14ac:dyDescent="0.35">
      <c r="A21" s="563">
        <v>112758</v>
      </c>
      <c r="B21" s="563">
        <v>8312459</v>
      </c>
      <c r="C21" s="564" t="s">
        <v>77</v>
      </c>
      <c r="D21" s="538" t="s">
        <v>267</v>
      </c>
      <c r="E21" s="565">
        <v>0</v>
      </c>
      <c r="F21" s="566">
        <v>1</v>
      </c>
      <c r="G21" s="552">
        <v>0</v>
      </c>
      <c r="H21" s="552">
        <v>0</v>
      </c>
      <c r="I21" s="552">
        <v>7</v>
      </c>
      <c r="J21" s="552">
        <v>0</v>
      </c>
      <c r="K21" s="552">
        <v>0</v>
      </c>
      <c r="L21" s="552">
        <v>0</v>
      </c>
      <c r="M21" s="552">
        <v>362</v>
      </c>
      <c r="N21" s="552">
        <v>362</v>
      </c>
      <c r="O21" s="552">
        <v>36</v>
      </c>
      <c r="P21" s="552">
        <v>326</v>
      </c>
      <c r="Q21" s="552">
        <v>0</v>
      </c>
      <c r="R21" s="552">
        <v>0</v>
      </c>
      <c r="S21" s="552">
        <v>0</v>
      </c>
      <c r="T21" s="552">
        <v>0</v>
      </c>
      <c r="U21" s="552">
        <v>0</v>
      </c>
      <c r="V21" s="552">
        <v>0</v>
      </c>
      <c r="W21" s="552">
        <v>0</v>
      </c>
      <c r="X21" s="552">
        <v>0</v>
      </c>
      <c r="Y21" s="552">
        <v>0</v>
      </c>
      <c r="Z21" s="552">
        <v>362</v>
      </c>
      <c r="AA21" s="552">
        <v>51.714285714285715</v>
      </c>
      <c r="AB21" s="552">
        <v>30.000000000000007</v>
      </c>
      <c r="AC21" s="552">
        <v>34.000000000000014</v>
      </c>
      <c r="AD21" s="552">
        <v>0</v>
      </c>
      <c r="AE21" s="552">
        <v>0</v>
      </c>
      <c r="AF21" s="552">
        <v>344.99999999999994</v>
      </c>
      <c r="AG21" s="552">
        <v>3.0000000000000004</v>
      </c>
      <c r="AH21" s="552">
        <v>10.999999999999996</v>
      </c>
      <c r="AI21" s="552">
        <v>0</v>
      </c>
      <c r="AJ21" s="552">
        <v>2.0000000000000004</v>
      </c>
      <c r="AK21" s="552">
        <v>1.0000000000000002</v>
      </c>
      <c r="AL21" s="552">
        <v>0</v>
      </c>
      <c r="AM21" s="552">
        <v>0</v>
      </c>
      <c r="AN21" s="552">
        <v>0</v>
      </c>
      <c r="AO21" s="552">
        <v>0</v>
      </c>
      <c r="AP21" s="552">
        <v>0</v>
      </c>
      <c r="AQ21" s="552">
        <v>0</v>
      </c>
      <c r="AR21" s="552">
        <v>0</v>
      </c>
      <c r="AS21" s="552">
        <v>0</v>
      </c>
      <c r="AT21" s="552">
        <v>31.283950617283935</v>
      </c>
      <c r="AU21" s="552">
        <v>0</v>
      </c>
      <c r="AV21" s="552">
        <v>100.18989898989901</v>
      </c>
      <c r="AW21" s="552">
        <v>0</v>
      </c>
      <c r="AX21" s="552">
        <v>0</v>
      </c>
      <c r="AY21" s="552">
        <v>0</v>
      </c>
      <c r="AZ21" s="552">
        <v>0</v>
      </c>
      <c r="BA21" s="552">
        <v>0</v>
      </c>
      <c r="BB21" s="552">
        <v>0</v>
      </c>
      <c r="BC21" s="552">
        <v>0</v>
      </c>
      <c r="BD21" s="552">
        <v>0</v>
      </c>
      <c r="BE21" s="552">
        <v>0.89200000000000002</v>
      </c>
      <c r="BF21" s="552">
        <v>0</v>
      </c>
      <c r="BG21" s="552">
        <v>0</v>
      </c>
      <c r="BH21" s="567">
        <v>0</v>
      </c>
      <c r="BI21" s="552">
        <v>0</v>
      </c>
      <c r="BJ21" s="552">
        <v>1</v>
      </c>
      <c r="BK21" s="552">
        <v>0</v>
      </c>
    </row>
    <row r="22" spans="1:63" ht="14.5" x14ac:dyDescent="0.35">
      <c r="A22" s="563">
        <v>112759</v>
      </c>
      <c r="B22" s="563">
        <v>8312462</v>
      </c>
      <c r="C22" s="564" t="s">
        <v>78</v>
      </c>
      <c r="D22" s="538" t="s">
        <v>267</v>
      </c>
      <c r="E22" s="565">
        <v>0</v>
      </c>
      <c r="F22" s="566">
        <v>1</v>
      </c>
      <c r="G22" s="552">
        <v>0</v>
      </c>
      <c r="H22" s="552">
        <v>0</v>
      </c>
      <c r="I22" s="552">
        <v>3</v>
      </c>
      <c r="J22" s="552">
        <v>0</v>
      </c>
      <c r="K22" s="552">
        <v>0</v>
      </c>
      <c r="L22" s="552">
        <v>0</v>
      </c>
      <c r="M22" s="552">
        <v>238</v>
      </c>
      <c r="N22" s="552">
        <v>238</v>
      </c>
      <c r="O22" s="552">
        <v>69</v>
      </c>
      <c r="P22" s="552">
        <v>169</v>
      </c>
      <c r="Q22" s="552">
        <v>0</v>
      </c>
      <c r="R22" s="552">
        <v>0</v>
      </c>
      <c r="S22" s="552">
        <v>0</v>
      </c>
      <c r="T22" s="552">
        <v>0</v>
      </c>
      <c r="U22" s="552">
        <v>0</v>
      </c>
      <c r="V22" s="552">
        <v>0</v>
      </c>
      <c r="W22" s="552">
        <v>0</v>
      </c>
      <c r="X22" s="552">
        <v>0</v>
      </c>
      <c r="Y22" s="552">
        <v>0</v>
      </c>
      <c r="Z22" s="552">
        <v>238</v>
      </c>
      <c r="AA22" s="552">
        <v>79.333333333333329</v>
      </c>
      <c r="AB22" s="552">
        <v>61.999999999999936</v>
      </c>
      <c r="AC22" s="552">
        <v>61.999999999999936</v>
      </c>
      <c r="AD22" s="552">
        <v>0</v>
      </c>
      <c r="AE22" s="552">
        <v>0</v>
      </c>
      <c r="AF22" s="552">
        <v>187.00000000000009</v>
      </c>
      <c r="AG22" s="552">
        <v>24.000000000000053</v>
      </c>
      <c r="AH22" s="552">
        <v>7.0000000000000115</v>
      </c>
      <c r="AI22" s="552">
        <v>1.0000000000000007</v>
      </c>
      <c r="AJ22" s="552">
        <v>13</v>
      </c>
      <c r="AK22" s="552">
        <v>2.9999999999999947</v>
      </c>
      <c r="AL22" s="552">
        <v>2.9999999999999947</v>
      </c>
      <c r="AM22" s="552">
        <v>0</v>
      </c>
      <c r="AN22" s="552">
        <v>0</v>
      </c>
      <c r="AO22" s="552">
        <v>0</v>
      </c>
      <c r="AP22" s="552">
        <v>0</v>
      </c>
      <c r="AQ22" s="552">
        <v>0</v>
      </c>
      <c r="AR22" s="552">
        <v>0</v>
      </c>
      <c r="AS22" s="552">
        <v>0</v>
      </c>
      <c r="AT22" s="552">
        <v>32.122699386503015</v>
      </c>
      <c r="AU22" s="552">
        <v>0</v>
      </c>
      <c r="AV22" s="552">
        <v>65.043478260869577</v>
      </c>
      <c r="AW22" s="552">
        <v>0</v>
      </c>
      <c r="AX22" s="552">
        <v>0</v>
      </c>
      <c r="AY22" s="552">
        <v>0</v>
      </c>
      <c r="AZ22" s="552">
        <v>0</v>
      </c>
      <c r="BA22" s="552">
        <v>0</v>
      </c>
      <c r="BB22" s="552">
        <v>0</v>
      </c>
      <c r="BC22" s="552">
        <v>0</v>
      </c>
      <c r="BD22" s="552">
        <v>0</v>
      </c>
      <c r="BE22" s="552">
        <v>0.83799999999999997</v>
      </c>
      <c r="BF22" s="552">
        <v>0</v>
      </c>
      <c r="BG22" s="552">
        <v>0</v>
      </c>
      <c r="BH22" s="567">
        <v>0</v>
      </c>
      <c r="BI22" s="552">
        <v>0</v>
      </c>
      <c r="BJ22" s="552">
        <v>1</v>
      </c>
      <c r="BK22" s="552">
        <v>0</v>
      </c>
    </row>
    <row r="23" spans="1:63" ht="14.5" x14ac:dyDescent="0.35">
      <c r="A23" s="563">
        <v>112765</v>
      </c>
      <c r="B23" s="563">
        <v>8312469</v>
      </c>
      <c r="C23" s="564" t="s">
        <v>79</v>
      </c>
      <c r="D23" s="538" t="s">
        <v>267</v>
      </c>
      <c r="E23" s="565">
        <v>0</v>
      </c>
      <c r="F23" s="566">
        <v>1</v>
      </c>
      <c r="G23" s="552">
        <v>0</v>
      </c>
      <c r="H23" s="552">
        <v>0</v>
      </c>
      <c r="I23" s="552">
        <v>7</v>
      </c>
      <c r="J23" s="552">
        <v>0</v>
      </c>
      <c r="K23" s="552">
        <v>0</v>
      </c>
      <c r="L23" s="552">
        <v>0</v>
      </c>
      <c r="M23" s="552">
        <v>425</v>
      </c>
      <c r="N23" s="552">
        <v>425</v>
      </c>
      <c r="O23" s="552">
        <v>60</v>
      </c>
      <c r="P23" s="552">
        <v>365</v>
      </c>
      <c r="Q23" s="552">
        <v>0</v>
      </c>
      <c r="R23" s="552">
        <v>0</v>
      </c>
      <c r="S23" s="552">
        <v>0</v>
      </c>
      <c r="T23" s="552">
        <v>0</v>
      </c>
      <c r="U23" s="552">
        <v>0</v>
      </c>
      <c r="V23" s="552">
        <v>0</v>
      </c>
      <c r="W23" s="552">
        <v>0</v>
      </c>
      <c r="X23" s="552">
        <v>0</v>
      </c>
      <c r="Y23" s="552">
        <v>0</v>
      </c>
      <c r="Z23" s="552">
        <v>425</v>
      </c>
      <c r="AA23" s="552">
        <v>60.714285714285715</v>
      </c>
      <c r="AB23" s="552">
        <v>20.000000000000014</v>
      </c>
      <c r="AC23" s="552">
        <v>20.000000000000014</v>
      </c>
      <c r="AD23" s="552">
        <v>0</v>
      </c>
      <c r="AE23" s="552">
        <v>0</v>
      </c>
      <c r="AF23" s="552">
        <v>409.99999999999989</v>
      </c>
      <c r="AG23" s="552">
        <v>11.000000000000012</v>
      </c>
      <c r="AH23" s="552">
        <v>1.0000000000000009</v>
      </c>
      <c r="AI23" s="552">
        <v>0</v>
      </c>
      <c r="AJ23" s="552">
        <v>3.0000000000000022</v>
      </c>
      <c r="AK23" s="552">
        <v>0</v>
      </c>
      <c r="AL23" s="552">
        <v>0</v>
      </c>
      <c r="AM23" s="552">
        <v>0</v>
      </c>
      <c r="AN23" s="552">
        <v>0</v>
      </c>
      <c r="AO23" s="552">
        <v>0</v>
      </c>
      <c r="AP23" s="552">
        <v>0</v>
      </c>
      <c r="AQ23" s="552">
        <v>0</v>
      </c>
      <c r="AR23" s="552">
        <v>0</v>
      </c>
      <c r="AS23" s="552">
        <v>0</v>
      </c>
      <c r="AT23" s="552">
        <v>17.757660167130908</v>
      </c>
      <c r="AU23" s="552">
        <v>0</v>
      </c>
      <c r="AV23" s="552">
        <v>112.87638699782474</v>
      </c>
      <c r="AW23" s="552">
        <v>0</v>
      </c>
      <c r="AX23" s="552">
        <v>0</v>
      </c>
      <c r="AY23" s="552">
        <v>0</v>
      </c>
      <c r="AZ23" s="552">
        <v>0</v>
      </c>
      <c r="BA23" s="552">
        <v>0</v>
      </c>
      <c r="BB23" s="552">
        <v>0</v>
      </c>
      <c r="BC23" s="552">
        <v>0</v>
      </c>
      <c r="BD23" s="552">
        <v>0</v>
      </c>
      <c r="BE23" s="552">
        <v>0.93300000000000005</v>
      </c>
      <c r="BF23" s="552">
        <v>0</v>
      </c>
      <c r="BG23" s="552">
        <v>0</v>
      </c>
      <c r="BH23" s="567">
        <v>0</v>
      </c>
      <c r="BI23" s="552">
        <v>0</v>
      </c>
      <c r="BJ23" s="552">
        <v>1</v>
      </c>
      <c r="BK23" s="552">
        <v>0</v>
      </c>
    </row>
    <row r="24" spans="1:63" ht="14.5" x14ac:dyDescent="0.35">
      <c r="A24" s="563">
        <v>112767</v>
      </c>
      <c r="B24" s="563">
        <v>8312473</v>
      </c>
      <c r="C24" s="564" t="s">
        <v>80</v>
      </c>
      <c r="D24" s="538" t="s">
        <v>267</v>
      </c>
      <c r="E24" s="565">
        <v>0</v>
      </c>
      <c r="F24" s="566">
        <v>1</v>
      </c>
      <c r="G24" s="552">
        <v>0</v>
      </c>
      <c r="H24" s="552">
        <v>0</v>
      </c>
      <c r="I24" s="552">
        <v>3</v>
      </c>
      <c r="J24" s="552">
        <v>0</v>
      </c>
      <c r="K24" s="552">
        <v>0</v>
      </c>
      <c r="L24" s="552">
        <v>0</v>
      </c>
      <c r="M24" s="552">
        <v>248</v>
      </c>
      <c r="N24" s="552">
        <v>248</v>
      </c>
      <c r="O24" s="552">
        <v>71</v>
      </c>
      <c r="P24" s="552">
        <v>177</v>
      </c>
      <c r="Q24" s="552">
        <v>0</v>
      </c>
      <c r="R24" s="552">
        <v>0</v>
      </c>
      <c r="S24" s="552">
        <v>0</v>
      </c>
      <c r="T24" s="552">
        <v>0</v>
      </c>
      <c r="U24" s="552">
        <v>0</v>
      </c>
      <c r="V24" s="552">
        <v>0</v>
      </c>
      <c r="W24" s="552">
        <v>0</v>
      </c>
      <c r="X24" s="552">
        <v>0</v>
      </c>
      <c r="Y24" s="552">
        <v>0</v>
      </c>
      <c r="Z24" s="552">
        <v>248</v>
      </c>
      <c r="AA24" s="552">
        <v>82.666666666666671</v>
      </c>
      <c r="AB24" s="552">
        <v>78.999999999999957</v>
      </c>
      <c r="AC24" s="552">
        <v>78.999999999999957</v>
      </c>
      <c r="AD24" s="552">
        <v>0</v>
      </c>
      <c r="AE24" s="552">
        <v>0</v>
      </c>
      <c r="AF24" s="552">
        <v>109.99999999999996</v>
      </c>
      <c r="AG24" s="552">
        <v>10.000000000000004</v>
      </c>
      <c r="AH24" s="552">
        <v>54.999999999999979</v>
      </c>
      <c r="AI24" s="552">
        <v>0</v>
      </c>
      <c r="AJ24" s="552">
        <v>17.000000000000004</v>
      </c>
      <c r="AK24" s="552">
        <v>20.000000000000007</v>
      </c>
      <c r="AL24" s="552">
        <v>36.000000000000085</v>
      </c>
      <c r="AM24" s="552">
        <v>0</v>
      </c>
      <c r="AN24" s="552">
        <v>0</v>
      </c>
      <c r="AO24" s="552">
        <v>0</v>
      </c>
      <c r="AP24" s="552">
        <v>0</v>
      </c>
      <c r="AQ24" s="552">
        <v>0</v>
      </c>
      <c r="AR24" s="552">
        <v>0</v>
      </c>
      <c r="AS24" s="552">
        <v>0</v>
      </c>
      <c r="AT24" s="552">
        <v>18.214689265536716</v>
      </c>
      <c r="AU24" s="552">
        <v>0</v>
      </c>
      <c r="AV24" s="552">
        <v>127.50282485875715</v>
      </c>
      <c r="AW24" s="552">
        <v>0</v>
      </c>
      <c r="AX24" s="552">
        <v>0</v>
      </c>
      <c r="AY24" s="552">
        <v>0</v>
      </c>
      <c r="AZ24" s="552">
        <v>0</v>
      </c>
      <c r="BA24" s="552">
        <v>0</v>
      </c>
      <c r="BB24" s="552">
        <v>0</v>
      </c>
      <c r="BC24" s="552">
        <v>0</v>
      </c>
      <c r="BD24" s="552">
        <v>0</v>
      </c>
      <c r="BE24" s="552">
        <v>0.71</v>
      </c>
      <c r="BF24" s="552">
        <v>0</v>
      </c>
      <c r="BG24" s="552">
        <v>0</v>
      </c>
      <c r="BH24" s="567">
        <v>0</v>
      </c>
      <c r="BI24" s="552">
        <v>0</v>
      </c>
      <c r="BJ24" s="552">
        <v>1</v>
      </c>
      <c r="BK24" s="552">
        <v>0</v>
      </c>
    </row>
    <row r="25" spans="1:63" ht="14.5" x14ac:dyDescent="0.35">
      <c r="A25" s="563">
        <v>112770</v>
      </c>
      <c r="B25" s="563">
        <v>8312505</v>
      </c>
      <c r="C25" s="564" t="s">
        <v>81</v>
      </c>
      <c r="D25" s="538" t="s">
        <v>267</v>
      </c>
      <c r="E25" s="565">
        <v>0</v>
      </c>
      <c r="F25" s="566">
        <v>1</v>
      </c>
      <c r="G25" s="552">
        <v>0</v>
      </c>
      <c r="H25" s="552">
        <v>0</v>
      </c>
      <c r="I25" s="552">
        <v>7</v>
      </c>
      <c r="J25" s="552">
        <v>0</v>
      </c>
      <c r="K25" s="552">
        <v>0</v>
      </c>
      <c r="L25" s="552">
        <v>0</v>
      </c>
      <c r="M25" s="552">
        <v>551</v>
      </c>
      <c r="N25" s="552">
        <v>551</v>
      </c>
      <c r="O25" s="552">
        <v>65</v>
      </c>
      <c r="P25" s="552">
        <v>486</v>
      </c>
      <c r="Q25" s="552">
        <v>0</v>
      </c>
      <c r="R25" s="552">
        <v>0</v>
      </c>
      <c r="S25" s="552">
        <v>0</v>
      </c>
      <c r="T25" s="552">
        <v>0</v>
      </c>
      <c r="U25" s="552">
        <v>0</v>
      </c>
      <c r="V25" s="552">
        <v>0</v>
      </c>
      <c r="W25" s="552">
        <v>0</v>
      </c>
      <c r="X25" s="552">
        <v>0</v>
      </c>
      <c r="Y25" s="552">
        <v>0</v>
      </c>
      <c r="Z25" s="552">
        <v>551</v>
      </c>
      <c r="AA25" s="552">
        <v>78.714285714285708</v>
      </c>
      <c r="AB25" s="552">
        <v>239.99999999999977</v>
      </c>
      <c r="AC25" s="552">
        <v>239.99999999999977</v>
      </c>
      <c r="AD25" s="552">
        <v>0</v>
      </c>
      <c r="AE25" s="552">
        <v>0</v>
      </c>
      <c r="AF25" s="552">
        <v>235</v>
      </c>
      <c r="AG25" s="552">
        <v>4.0000000000000027</v>
      </c>
      <c r="AH25" s="552">
        <v>82.000000000000057</v>
      </c>
      <c r="AI25" s="552">
        <v>14.000000000000016</v>
      </c>
      <c r="AJ25" s="552">
        <v>71.999999999999929</v>
      </c>
      <c r="AK25" s="552">
        <v>138.00000000000003</v>
      </c>
      <c r="AL25" s="552">
        <v>6.0000000000000231</v>
      </c>
      <c r="AM25" s="552">
        <v>0</v>
      </c>
      <c r="AN25" s="552">
        <v>0</v>
      </c>
      <c r="AO25" s="552">
        <v>0</v>
      </c>
      <c r="AP25" s="552">
        <v>0</v>
      </c>
      <c r="AQ25" s="552">
        <v>0</v>
      </c>
      <c r="AR25" s="552">
        <v>0</v>
      </c>
      <c r="AS25" s="552">
        <v>0</v>
      </c>
      <c r="AT25" s="552">
        <v>147.38683127571994</v>
      </c>
      <c r="AU25" s="552">
        <v>0</v>
      </c>
      <c r="AV25" s="552">
        <v>211.85875728990308</v>
      </c>
      <c r="AW25" s="552">
        <v>0</v>
      </c>
      <c r="AX25" s="552">
        <v>0</v>
      </c>
      <c r="AY25" s="552">
        <v>0</v>
      </c>
      <c r="AZ25" s="552">
        <v>0</v>
      </c>
      <c r="BA25" s="552">
        <v>0</v>
      </c>
      <c r="BB25" s="552">
        <v>0</v>
      </c>
      <c r="BC25" s="552">
        <v>18.940000000000012</v>
      </c>
      <c r="BD25" s="552">
        <v>0</v>
      </c>
      <c r="BE25" s="552">
        <v>0.503</v>
      </c>
      <c r="BF25" s="552">
        <v>0</v>
      </c>
      <c r="BG25" s="552">
        <v>0</v>
      </c>
      <c r="BH25" s="567">
        <v>0</v>
      </c>
      <c r="BI25" s="552">
        <v>0</v>
      </c>
      <c r="BJ25" s="552">
        <v>1</v>
      </c>
      <c r="BK25" s="552">
        <v>0</v>
      </c>
    </row>
    <row r="26" spans="1:63" ht="14.5" x14ac:dyDescent="0.35">
      <c r="A26" s="563">
        <v>112790</v>
      </c>
      <c r="B26" s="563">
        <v>8312627</v>
      </c>
      <c r="C26" s="564" t="s">
        <v>82</v>
      </c>
      <c r="D26" s="538" t="s">
        <v>267</v>
      </c>
      <c r="E26" s="565">
        <v>0</v>
      </c>
      <c r="F26" s="566">
        <v>1</v>
      </c>
      <c r="G26" s="552">
        <v>0</v>
      </c>
      <c r="H26" s="552">
        <v>0</v>
      </c>
      <c r="I26" s="552">
        <v>7</v>
      </c>
      <c r="J26" s="552">
        <v>0</v>
      </c>
      <c r="K26" s="552">
        <v>0</v>
      </c>
      <c r="L26" s="552">
        <v>0</v>
      </c>
      <c r="M26" s="552">
        <v>411</v>
      </c>
      <c r="N26" s="552">
        <v>411</v>
      </c>
      <c r="O26" s="552">
        <v>51</v>
      </c>
      <c r="P26" s="552">
        <v>360</v>
      </c>
      <c r="Q26" s="552">
        <v>0</v>
      </c>
      <c r="R26" s="552">
        <v>0</v>
      </c>
      <c r="S26" s="552">
        <v>0</v>
      </c>
      <c r="T26" s="552">
        <v>0</v>
      </c>
      <c r="U26" s="552">
        <v>0</v>
      </c>
      <c r="V26" s="552">
        <v>0</v>
      </c>
      <c r="W26" s="552">
        <v>0</v>
      </c>
      <c r="X26" s="552">
        <v>0</v>
      </c>
      <c r="Y26" s="552">
        <v>0</v>
      </c>
      <c r="Z26" s="552">
        <v>411</v>
      </c>
      <c r="AA26" s="552">
        <v>58.714285714285715</v>
      </c>
      <c r="AB26" s="552">
        <v>55.000000000000192</v>
      </c>
      <c r="AC26" s="552">
        <v>55.000000000000192</v>
      </c>
      <c r="AD26" s="552">
        <v>0</v>
      </c>
      <c r="AE26" s="552">
        <v>0</v>
      </c>
      <c r="AF26" s="552">
        <v>376.99999999999989</v>
      </c>
      <c r="AG26" s="552">
        <v>18.999999999999996</v>
      </c>
      <c r="AH26" s="552">
        <v>8.9999999999999982</v>
      </c>
      <c r="AI26" s="552">
        <v>0.99999999999999989</v>
      </c>
      <c r="AJ26" s="552">
        <v>3.9999999999999996</v>
      </c>
      <c r="AK26" s="552">
        <v>0.99999999999999989</v>
      </c>
      <c r="AL26" s="552">
        <v>0</v>
      </c>
      <c r="AM26" s="552">
        <v>0</v>
      </c>
      <c r="AN26" s="552">
        <v>0</v>
      </c>
      <c r="AO26" s="552">
        <v>0</v>
      </c>
      <c r="AP26" s="552">
        <v>0</v>
      </c>
      <c r="AQ26" s="552">
        <v>0</v>
      </c>
      <c r="AR26" s="552">
        <v>0</v>
      </c>
      <c r="AS26" s="552">
        <v>0</v>
      </c>
      <c r="AT26" s="552">
        <v>53.658333333333516</v>
      </c>
      <c r="AU26" s="552">
        <v>0</v>
      </c>
      <c r="AV26" s="552">
        <v>122.00399386987414</v>
      </c>
      <c r="AW26" s="552">
        <v>0</v>
      </c>
      <c r="AX26" s="552">
        <v>0</v>
      </c>
      <c r="AY26" s="552">
        <v>0</v>
      </c>
      <c r="AZ26" s="552">
        <v>0</v>
      </c>
      <c r="BA26" s="552">
        <v>0</v>
      </c>
      <c r="BB26" s="552">
        <v>0</v>
      </c>
      <c r="BC26" s="552">
        <v>0</v>
      </c>
      <c r="BD26" s="552">
        <v>0</v>
      </c>
      <c r="BE26" s="552">
        <v>0.59599999999999997</v>
      </c>
      <c r="BF26" s="552">
        <v>0</v>
      </c>
      <c r="BG26" s="552">
        <v>0</v>
      </c>
      <c r="BH26" s="567">
        <v>0</v>
      </c>
      <c r="BI26" s="552">
        <v>0</v>
      </c>
      <c r="BJ26" s="552">
        <v>1</v>
      </c>
      <c r="BK26" s="552">
        <v>0</v>
      </c>
    </row>
    <row r="27" spans="1:63" ht="14.5" x14ac:dyDescent="0.35">
      <c r="A27" s="563">
        <v>112915</v>
      </c>
      <c r="B27" s="563">
        <v>8313526</v>
      </c>
      <c r="C27" s="564" t="s">
        <v>83</v>
      </c>
      <c r="D27" s="538" t="s">
        <v>267</v>
      </c>
      <c r="E27" s="565">
        <v>0</v>
      </c>
      <c r="F27" s="566">
        <v>1</v>
      </c>
      <c r="G27" s="552">
        <v>0</v>
      </c>
      <c r="H27" s="552">
        <v>0</v>
      </c>
      <c r="I27" s="552">
        <v>3</v>
      </c>
      <c r="J27" s="552">
        <v>0</v>
      </c>
      <c r="K27" s="552">
        <v>0</v>
      </c>
      <c r="L27" s="552">
        <v>0</v>
      </c>
      <c r="M27" s="552">
        <v>90</v>
      </c>
      <c r="N27" s="552">
        <v>90</v>
      </c>
      <c r="O27" s="552">
        <v>30</v>
      </c>
      <c r="P27" s="552">
        <v>60</v>
      </c>
      <c r="Q27" s="552">
        <v>0</v>
      </c>
      <c r="R27" s="552">
        <v>0</v>
      </c>
      <c r="S27" s="552">
        <v>0</v>
      </c>
      <c r="T27" s="552">
        <v>0</v>
      </c>
      <c r="U27" s="552">
        <v>0</v>
      </c>
      <c r="V27" s="552">
        <v>0</v>
      </c>
      <c r="W27" s="552">
        <v>0</v>
      </c>
      <c r="X27" s="552">
        <v>0</v>
      </c>
      <c r="Y27" s="552">
        <v>0</v>
      </c>
      <c r="Z27" s="552">
        <v>90</v>
      </c>
      <c r="AA27" s="552">
        <v>30</v>
      </c>
      <c r="AB27" s="552">
        <v>29.999999999999968</v>
      </c>
      <c r="AC27" s="552">
        <v>30.999999999999961</v>
      </c>
      <c r="AD27" s="552">
        <v>0</v>
      </c>
      <c r="AE27" s="552">
        <v>0</v>
      </c>
      <c r="AF27" s="552">
        <v>3.9999999999999956</v>
      </c>
      <c r="AG27" s="552">
        <v>0.99999999999999889</v>
      </c>
      <c r="AH27" s="552">
        <v>46.999999999999986</v>
      </c>
      <c r="AI27" s="552">
        <v>10.99999999999998</v>
      </c>
      <c r="AJ27" s="552">
        <v>23.000000000000039</v>
      </c>
      <c r="AK27" s="552">
        <v>0.99999999999999889</v>
      </c>
      <c r="AL27" s="552">
        <v>2.9999999999999969</v>
      </c>
      <c r="AM27" s="552">
        <v>0</v>
      </c>
      <c r="AN27" s="552">
        <v>0</v>
      </c>
      <c r="AO27" s="552">
        <v>0</v>
      </c>
      <c r="AP27" s="552">
        <v>0</v>
      </c>
      <c r="AQ27" s="552">
        <v>0</v>
      </c>
      <c r="AR27" s="552">
        <v>0</v>
      </c>
      <c r="AS27" s="552">
        <v>0</v>
      </c>
      <c r="AT27" s="552">
        <v>74.999999999999972</v>
      </c>
      <c r="AU27" s="552">
        <v>0</v>
      </c>
      <c r="AV27" s="552">
        <v>34.363636363636388</v>
      </c>
      <c r="AW27" s="552">
        <v>0</v>
      </c>
      <c r="AX27" s="552">
        <v>0</v>
      </c>
      <c r="AY27" s="552">
        <v>0</v>
      </c>
      <c r="AZ27" s="552">
        <v>0</v>
      </c>
      <c r="BA27" s="552">
        <v>0</v>
      </c>
      <c r="BB27" s="552">
        <v>0</v>
      </c>
      <c r="BC27" s="552">
        <v>6.5999999999999703</v>
      </c>
      <c r="BD27" s="552">
        <v>0</v>
      </c>
      <c r="BE27" s="552">
        <v>0.442</v>
      </c>
      <c r="BF27" s="552">
        <v>0</v>
      </c>
      <c r="BG27" s="552">
        <v>0</v>
      </c>
      <c r="BH27" s="567">
        <v>0</v>
      </c>
      <c r="BI27" s="552">
        <v>0</v>
      </c>
      <c r="BJ27" s="552">
        <v>1</v>
      </c>
      <c r="BK27" s="552">
        <v>0</v>
      </c>
    </row>
    <row r="28" spans="1:63" ht="14.5" x14ac:dyDescent="0.35">
      <c r="A28" s="563">
        <v>112983</v>
      </c>
      <c r="B28" s="563">
        <v>8315209</v>
      </c>
      <c r="C28" s="564" t="s">
        <v>84</v>
      </c>
      <c r="D28" s="538" t="s">
        <v>267</v>
      </c>
      <c r="E28" s="565">
        <v>0</v>
      </c>
      <c r="F28" s="566">
        <v>1</v>
      </c>
      <c r="G28" s="552">
        <v>0</v>
      </c>
      <c r="H28" s="552">
        <v>0</v>
      </c>
      <c r="I28" s="552">
        <v>4</v>
      </c>
      <c r="J28" s="552">
        <v>0</v>
      </c>
      <c r="K28" s="552">
        <v>0</v>
      </c>
      <c r="L28" s="552">
        <v>0</v>
      </c>
      <c r="M28" s="552">
        <v>276</v>
      </c>
      <c r="N28" s="552">
        <v>276</v>
      </c>
      <c r="O28" s="552">
        <v>0</v>
      </c>
      <c r="P28" s="552">
        <v>276</v>
      </c>
      <c r="Q28" s="552">
        <v>0</v>
      </c>
      <c r="R28" s="552">
        <v>0</v>
      </c>
      <c r="S28" s="552">
        <v>0</v>
      </c>
      <c r="T28" s="552">
        <v>0</v>
      </c>
      <c r="U28" s="552">
        <v>0</v>
      </c>
      <c r="V28" s="552">
        <v>0</v>
      </c>
      <c r="W28" s="552">
        <v>0</v>
      </c>
      <c r="X28" s="552">
        <v>0</v>
      </c>
      <c r="Y28" s="552">
        <v>0</v>
      </c>
      <c r="Z28" s="552">
        <v>276</v>
      </c>
      <c r="AA28" s="552">
        <v>69</v>
      </c>
      <c r="AB28" s="552">
        <v>117.00000000000003</v>
      </c>
      <c r="AC28" s="552">
        <v>125.0000000000001</v>
      </c>
      <c r="AD28" s="552">
        <v>0</v>
      </c>
      <c r="AE28" s="552">
        <v>0</v>
      </c>
      <c r="AF28" s="552">
        <v>80.999999999999943</v>
      </c>
      <c r="AG28" s="552">
        <v>87.000000000000043</v>
      </c>
      <c r="AH28" s="552">
        <v>17.999999999999993</v>
      </c>
      <c r="AI28" s="552">
        <v>0</v>
      </c>
      <c r="AJ28" s="552">
        <v>29.000000000000018</v>
      </c>
      <c r="AK28" s="552">
        <v>45.000000000000121</v>
      </c>
      <c r="AL28" s="552">
        <v>15.999999999999995</v>
      </c>
      <c r="AM28" s="552">
        <v>0</v>
      </c>
      <c r="AN28" s="552">
        <v>0</v>
      </c>
      <c r="AO28" s="552">
        <v>0</v>
      </c>
      <c r="AP28" s="552">
        <v>0</v>
      </c>
      <c r="AQ28" s="552">
        <v>0</v>
      </c>
      <c r="AR28" s="552">
        <v>0</v>
      </c>
      <c r="AS28" s="552">
        <v>0</v>
      </c>
      <c r="AT28" s="552">
        <v>24.999999999999989</v>
      </c>
      <c r="AU28" s="552">
        <v>0</v>
      </c>
      <c r="AV28" s="552">
        <v>101.6320401076283</v>
      </c>
      <c r="AW28" s="552">
        <v>0</v>
      </c>
      <c r="AX28" s="552">
        <v>0</v>
      </c>
      <c r="AY28" s="552">
        <v>0</v>
      </c>
      <c r="AZ28" s="552">
        <v>0</v>
      </c>
      <c r="BA28" s="552">
        <v>0</v>
      </c>
      <c r="BB28" s="552">
        <v>0</v>
      </c>
      <c r="BC28" s="552">
        <v>5.4399999999999906</v>
      </c>
      <c r="BD28" s="552">
        <v>0</v>
      </c>
      <c r="BE28" s="552">
        <v>0.83399999999999996</v>
      </c>
      <c r="BF28" s="552">
        <v>0</v>
      </c>
      <c r="BG28" s="552">
        <v>0</v>
      </c>
      <c r="BH28" s="567">
        <v>0</v>
      </c>
      <c r="BI28" s="552">
        <v>0</v>
      </c>
      <c r="BJ28" s="552">
        <v>1</v>
      </c>
      <c r="BK28" s="552">
        <v>0</v>
      </c>
    </row>
    <row r="29" spans="1:63" ht="14.5" x14ac:dyDescent="0.35">
      <c r="A29" s="563">
        <v>112956</v>
      </c>
      <c r="B29" s="563">
        <v>8314182</v>
      </c>
      <c r="C29" s="564" t="s">
        <v>85</v>
      </c>
      <c r="D29" s="538" t="s">
        <v>199</v>
      </c>
      <c r="E29" s="565">
        <v>0</v>
      </c>
      <c r="F29" s="566">
        <v>1</v>
      </c>
      <c r="G29" s="552">
        <v>0</v>
      </c>
      <c r="H29" s="552">
        <v>0</v>
      </c>
      <c r="I29" s="552">
        <v>0</v>
      </c>
      <c r="J29" s="552">
        <v>5</v>
      </c>
      <c r="K29" s="552">
        <v>3</v>
      </c>
      <c r="L29" s="552">
        <v>2</v>
      </c>
      <c r="M29" s="552">
        <v>1469</v>
      </c>
      <c r="N29" s="552">
        <v>0</v>
      </c>
      <c r="O29" s="552">
        <v>0</v>
      </c>
      <c r="P29" s="552">
        <v>0</v>
      </c>
      <c r="Q29" s="552">
        <v>1469</v>
      </c>
      <c r="R29" s="552">
        <v>883</v>
      </c>
      <c r="S29" s="552">
        <v>586</v>
      </c>
      <c r="T29" s="552">
        <v>296</v>
      </c>
      <c r="U29" s="552">
        <v>295</v>
      </c>
      <c r="V29" s="552">
        <v>292</v>
      </c>
      <c r="W29" s="552">
        <v>293</v>
      </c>
      <c r="X29" s="552">
        <v>293</v>
      </c>
      <c r="Y29" s="552">
        <v>0</v>
      </c>
      <c r="Z29" s="552">
        <v>1469</v>
      </c>
      <c r="AA29" s="552">
        <v>293.8</v>
      </c>
      <c r="AB29" s="552">
        <v>0</v>
      </c>
      <c r="AC29" s="552">
        <v>0</v>
      </c>
      <c r="AD29" s="552">
        <v>213.00000000000009</v>
      </c>
      <c r="AE29" s="552">
        <v>264</v>
      </c>
      <c r="AF29" s="552">
        <v>0</v>
      </c>
      <c r="AG29" s="552">
        <v>0</v>
      </c>
      <c r="AH29" s="552">
        <v>0</v>
      </c>
      <c r="AI29" s="552">
        <v>0</v>
      </c>
      <c r="AJ29" s="552">
        <v>0</v>
      </c>
      <c r="AK29" s="552">
        <v>0</v>
      </c>
      <c r="AL29" s="552">
        <v>0</v>
      </c>
      <c r="AM29" s="552">
        <v>1240.0000000000007</v>
      </c>
      <c r="AN29" s="552">
        <v>132</v>
      </c>
      <c r="AO29" s="552">
        <v>52.000000000000043</v>
      </c>
      <c r="AP29" s="552">
        <v>30.999999999999943</v>
      </c>
      <c r="AQ29" s="552">
        <v>5.9999999999999973</v>
      </c>
      <c r="AR29" s="552">
        <v>7.9999999999999973</v>
      </c>
      <c r="AS29" s="552">
        <v>0</v>
      </c>
      <c r="AT29" s="552">
        <v>0</v>
      </c>
      <c r="AU29" s="552">
        <v>27.036809815950885</v>
      </c>
      <c r="AV29" s="552">
        <v>0</v>
      </c>
      <c r="AW29" s="552">
        <v>89.107266435986148</v>
      </c>
      <c r="AX29" s="552">
        <v>101.75958188153321</v>
      </c>
      <c r="AY29" s="552">
        <v>100.11428571428577</v>
      </c>
      <c r="AZ29" s="552">
        <v>100.45714285714291</v>
      </c>
      <c r="BA29" s="552">
        <v>83.262589928057665</v>
      </c>
      <c r="BB29" s="552">
        <v>271.1513706441558</v>
      </c>
      <c r="BC29" s="552">
        <v>0</v>
      </c>
      <c r="BD29" s="552">
        <v>0</v>
      </c>
      <c r="BE29" s="552">
        <v>0</v>
      </c>
      <c r="BF29" s="552">
        <v>2.0859999999999999</v>
      </c>
      <c r="BG29" s="552">
        <v>0</v>
      </c>
      <c r="BH29" s="567">
        <v>0</v>
      </c>
      <c r="BI29" s="552">
        <v>0</v>
      </c>
      <c r="BJ29" s="552">
        <v>0</v>
      </c>
      <c r="BK29" s="552">
        <v>1</v>
      </c>
    </row>
    <row r="30" spans="1:63" ht="14.5" x14ac:dyDescent="0.35">
      <c r="A30" s="563">
        <v>112991</v>
      </c>
      <c r="B30" s="563">
        <v>8315406</v>
      </c>
      <c r="C30" s="564" t="s">
        <v>86</v>
      </c>
      <c r="D30" s="538" t="s">
        <v>199</v>
      </c>
      <c r="E30" s="565">
        <v>0</v>
      </c>
      <c r="F30" s="566">
        <v>1</v>
      </c>
      <c r="G30" s="552">
        <v>0</v>
      </c>
      <c r="H30" s="552">
        <v>0</v>
      </c>
      <c r="I30" s="552">
        <v>0</v>
      </c>
      <c r="J30" s="552">
        <v>5</v>
      </c>
      <c r="K30" s="552">
        <v>3</v>
      </c>
      <c r="L30" s="552">
        <v>2</v>
      </c>
      <c r="M30" s="552">
        <v>1239.58</v>
      </c>
      <c r="N30" s="552">
        <v>0</v>
      </c>
      <c r="O30" s="552">
        <v>0</v>
      </c>
      <c r="P30" s="552">
        <v>0</v>
      </c>
      <c r="Q30" s="552">
        <v>1239.58</v>
      </c>
      <c r="R30" s="552">
        <v>808.58</v>
      </c>
      <c r="S30" s="552">
        <v>431</v>
      </c>
      <c r="T30" s="552">
        <v>278.33</v>
      </c>
      <c r="U30" s="552">
        <v>276.83</v>
      </c>
      <c r="V30" s="552">
        <v>253.42</v>
      </c>
      <c r="W30" s="552">
        <v>216</v>
      </c>
      <c r="X30" s="552">
        <v>215</v>
      </c>
      <c r="Y30" s="552">
        <v>0</v>
      </c>
      <c r="Z30" s="552">
        <v>1239.58</v>
      </c>
      <c r="AA30" s="552">
        <v>247.916</v>
      </c>
      <c r="AB30" s="552">
        <v>0</v>
      </c>
      <c r="AC30" s="552">
        <v>0</v>
      </c>
      <c r="AD30" s="552">
        <v>398.43642857142805</v>
      </c>
      <c r="AE30" s="552">
        <v>441.67759136212624</v>
      </c>
      <c r="AF30" s="552">
        <v>0</v>
      </c>
      <c r="AG30" s="552">
        <v>0</v>
      </c>
      <c r="AH30" s="552">
        <v>0</v>
      </c>
      <c r="AI30" s="552">
        <v>0</v>
      </c>
      <c r="AJ30" s="552">
        <v>0</v>
      </c>
      <c r="AK30" s="552">
        <v>0</v>
      </c>
      <c r="AL30" s="552">
        <v>0</v>
      </c>
      <c r="AM30" s="552">
        <v>598.16941860465147</v>
      </c>
      <c r="AN30" s="552">
        <v>351.07705980066413</v>
      </c>
      <c r="AO30" s="552">
        <v>83.393671096345457</v>
      </c>
      <c r="AP30" s="552">
        <v>54.566229235880428</v>
      </c>
      <c r="AQ30" s="552">
        <v>97.807392026578015</v>
      </c>
      <c r="AR30" s="552">
        <v>23.679684385382068</v>
      </c>
      <c r="AS30" s="552">
        <v>30.886544850498353</v>
      </c>
      <c r="AT30" s="552">
        <v>0</v>
      </c>
      <c r="AU30" s="552">
        <v>53.581180382377404</v>
      </c>
      <c r="AV30" s="552">
        <v>0</v>
      </c>
      <c r="AW30" s="552">
        <v>111.54048689138577</v>
      </c>
      <c r="AX30" s="552">
        <v>119.08913207547168</v>
      </c>
      <c r="AY30" s="552">
        <v>112.89800947867309</v>
      </c>
      <c r="AZ30" s="552">
        <v>96.227488151658861</v>
      </c>
      <c r="BA30" s="552">
        <v>94.6</v>
      </c>
      <c r="BB30" s="552">
        <v>305.73744556374118</v>
      </c>
      <c r="BC30" s="552">
        <v>0</v>
      </c>
      <c r="BD30" s="552">
        <v>0</v>
      </c>
      <c r="BE30" s="552">
        <v>0</v>
      </c>
      <c r="BF30" s="552">
        <v>2.4340000000000002</v>
      </c>
      <c r="BG30" s="552">
        <v>0</v>
      </c>
      <c r="BH30" s="567">
        <v>5.6666666666666421E-2</v>
      </c>
      <c r="BI30" s="552">
        <v>0</v>
      </c>
      <c r="BJ30" s="552">
        <v>0</v>
      </c>
      <c r="BK30" s="552">
        <v>1</v>
      </c>
    </row>
    <row r="31" spans="1:63" ht="14.5" x14ac:dyDescent="0.35">
      <c r="A31" s="563">
        <v>112951</v>
      </c>
      <c r="B31" s="563">
        <v>8314177</v>
      </c>
      <c r="C31" s="564" t="s">
        <v>87</v>
      </c>
      <c r="D31" s="538" t="s">
        <v>769</v>
      </c>
      <c r="E31" s="565">
        <v>0</v>
      </c>
      <c r="F31" s="566">
        <v>1</v>
      </c>
      <c r="G31" s="552">
        <v>0</v>
      </c>
      <c r="H31" s="552">
        <v>0</v>
      </c>
      <c r="I31" s="552">
        <v>7</v>
      </c>
      <c r="J31" s="552">
        <v>5</v>
      </c>
      <c r="K31" s="552">
        <v>3</v>
      </c>
      <c r="L31" s="552">
        <v>2</v>
      </c>
      <c r="M31" s="552">
        <v>1398</v>
      </c>
      <c r="N31" s="552">
        <v>396</v>
      </c>
      <c r="O31" s="552">
        <v>49</v>
      </c>
      <c r="P31" s="552">
        <v>347</v>
      </c>
      <c r="Q31" s="552">
        <v>1002</v>
      </c>
      <c r="R31" s="552">
        <v>614</v>
      </c>
      <c r="S31" s="552">
        <v>388</v>
      </c>
      <c r="T31" s="552">
        <v>210</v>
      </c>
      <c r="U31" s="552">
        <v>205</v>
      </c>
      <c r="V31" s="552">
        <v>199</v>
      </c>
      <c r="W31" s="552">
        <v>203</v>
      </c>
      <c r="X31" s="552">
        <v>185</v>
      </c>
      <c r="Y31" s="552">
        <v>0</v>
      </c>
      <c r="Z31" s="552">
        <v>1398</v>
      </c>
      <c r="AA31" s="552">
        <v>116.5</v>
      </c>
      <c r="AB31" s="552">
        <v>125.99999999999993</v>
      </c>
      <c r="AC31" s="552">
        <v>131.00000000000009</v>
      </c>
      <c r="AD31" s="552">
        <v>474.00000000000011</v>
      </c>
      <c r="AE31" s="552">
        <v>537.00000000000023</v>
      </c>
      <c r="AF31" s="552">
        <v>78.000000000000014</v>
      </c>
      <c r="AG31" s="552">
        <v>26.000000000000018</v>
      </c>
      <c r="AH31" s="552">
        <v>110.0000000000001</v>
      </c>
      <c r="AI31" s="552">
        <v>62.000000000000171</v>
      </c>
      <c r="AJ31" s="552">
        <v>72.000000000000071</v>
      </c>
      <c r="AK31" s="552">
        <v>39.000000000000007</v>
      </c>
      <c r="AL31" s="552">
        <v>8.9999999999999893</v>
      </c>
      <c r="AM31" s="552">
        <v>103.00000000000028</v>
      </c>
      <c r="AN31" s="552">
        <v>107.00000000000043</v>
      </c>
      <c r="AO31" s="552">
        <v>198.00000000000034</v>
      </c>
      <c r="AP31" s="552">
        <v>292.00000000000034</v>
      </c>
      <c r="AQ31" s="552">
        <v>206.9999999999996</v>
      </c>
      <c r="AR31" s="552">
        <v>60.000000000000014</v>
      </c>
      <c r="AS31" s="552">
        <v>35.000000000000021</v>
      </c>
      <c r="AT31" s="552">
        <v>118.68587896253617</v>
      </c>
      <c r="AU31" s="552">
        <v>142.41624365482187</v>
      </c>
      <c r="AV31" s="552">
        <v>162.55059240792625</v>
      </c>
      <c r="AW31" s="552">
        <v>133.33333333333334</v>
      </c>
      <c r="AX31" s="552">
        <v>138.67647058823528</v>
      </c>
      <c r="AY31" s="552">
        <v>136.00719424460434</v>
      </c>
      <c r="AZ31" s="552">
        <v>138.74100719424462</v>
      </c>
      <c r="BA31" s="552">
        <v>131.9485294117647</v>
      </c>
      <c r="BB31" s="552">
        <v>389.08218411691178</v>
      </c>
      <c r="BC31" s="552">
        <v>47.239999999999888</v>
      </c>
      <c r="BD31" s="552">
        <v>75.880000000000337</v>
      </c>
      <c r="BE31" s="552">
        <v>0</v>
      </c>
      <c r="BF31" s="552">
        <v>1.35</v>
      </c>
      <c r="BG31" s="552">
        <v>0</v>
      </c>
      <c r="BH31" s="567">
        <v>0</v>
      </c>
      <c r="BI31" s="552">
        <v>0</v>
      </c>
      <c r="BJ31" s="552">
        <v>0.2832618025751073</v>
      </c>
      <c r="BK31" s="552">
        <v>0.71673819742489275</v>
      </c>
    </row>
    <row r="32" spans="1:63" ht="14.5" x14ac:dyDescent="0.35">
      <c r="A32" s="563">
        <v>146579</v>
      </c>
      <c r="B32" s="563">
        <v>8312002</v>
      </c>
      <c r="C32" s="564" t="s">
        <v>88</v>
      </c>
      <c r="D32" s="538" t="s">
        <v>267</v>
      </c>
      <c r="E32" s="565" t="s">
        <v>770</v>
      </c>
      <c r="F32" s="566">
        <v>1</v>
      </c>
      <c r="G32" s="552">
        <v>0</v>
      </c>
      <c r="H32" s="552">
        <v>0</v>
      </c>
      <c r="I32" s="552">
        <v>7</v>
      </c>
      <c r="J32" s="552">
        <v>0</v>
      </c>
      <c r="K32" s="552">
        <v>0</v>
      </c>
      <c r="L32" s="552">
        <v>0</v>
      </c>
      <c r="M32" s="552">
        <v>421</v>
      </c>
      <c r="N32" s="552">
        <v>421</v>
      </c>
      <c r="O32" s="552">
        <v>60</v>
      </c>
      <c r="P32" s="552">
        <v>361</v>
      </c>
      <c r="Q32" s="552">
        <v>0</v>
      </c>
      <c r="R32" s="552">
        <v>0</v>
      </c>
      <c r="S32" s="552">
        <v>0</v>
      </c>
      <c r="T32" s="552">
        <v>0</v>
      </c>
      <c r="U32" s="552">
        <v>0</v>
      </c>
      <c r="V32" s="552">
        <v>0</v>
      </c>
      <c r="W32" s="552">
        <v>0</v>
      </c>
      <c r="X32" s="552">
        <v>0</v>
      </c>
      <c r="Y32" s="552">
        <v>0</v>
      </c>
      <c r="Z32" s="552">
        <v>421</v>
      </c>
      <c r="AA32" s="552">
        <v>60.142857142857146</v>
      </c>
      <c r="AB32" s="552">
        <v>36</v>
      </c>
      <c r="AC32" s="552">
        <v>36</v>
      </c>
      <c r="AD32" s="552">
        <v>0</v>
      </c>
      <c r="AE32" s="552">
        <v>0</v>
      </c>
      <c r="AF32" s="552">
        <v>330.78571428571439</v>
      </c>
      <c r="AG32" s="552">
        <v>75.178571428571601</v>
      </c>
      <c r="AH32" s="552">
        <v>8.0190476190475994</v>
      </c>
      <c r="AI32" s="552">
        <v>4.0095238095238077</v>
      </c>
      <c r="AJ32" s="552">
        <v>3.0071428571428558</v>
      </c>
      <c r="AK32" s="552">
        <v>0</v>
      </c>
      <c r="AL32" s="552">
        <v>0</v>
      </c>
      <c r="AM32" s="552">
        <v>0</v>
      </c>
      <c r="AN32" s="552">
        <v>0</v>
      </c>
      <c r="AO32" s="552">
        <v>0</v>
      </c>
      <c r="AP32" s="552">
        <v>0</v>
      </c>
      <c r="AQ32" s="552">
        <v>0</v>
      </c>
      <c r="AR32" s="552">
        <v>0</v>
      </c>
      <c r="AS32" s="552">
        <v>0</v>
      </c>
      <c r="AT32" s="552">
        <v>34.986149584487514</v>
      </c>
      <c r="AU32" s="552">
        <v>0</v>
      </c>
      <c r="AV32" s="552">
        <v>93.890234565039165</v>
      </c>
      <c r="AW32" s="552">
        <v>0</v>
      </c>
      <c r="AX32" s="552">
        <v>0</v>
      </c>
      <c r="AY32" s="552">
        <v>0</v>
      </c>
      <c r="AZ32" s="552">
        <v>0</v>
      </c>
      <c r="BA32" s="552">
        <v>0</v>
      </c>
      <c r="BB32" s="552">
        <v>0</v>
      </c>
      <c r="BC32" s="552">
        <v>0</v>
      </c>
      <c r="BD32" s="552">
        <v>0</v>
      </c>
      <c r="BE32" s="552">
        <v>1.1060000000000001</v>
      </c>
      <c r="BF32" s="552">
        <v>0</v>
      </c>
      <c r="BG32" s="552">
        <v>0</v>
      </c>
      <c r="BH32" s="567">
        <v>0</v>
      </c>
      <c r="BI32" s="552">
        <v>0</v>
      </c>
      <c r="BJ32" s="552">
        <v>1</v>
      </c>
      <c r="BK32" s="552">
        <v>0</v>
      </c>
    </row>
    <row r="33" spans="1:63" ht="14.5" x14ac:dyDescent="0.35">
      <c r="A33" s="563">
        <v>146877</v>
      </c>
      <c r="B33" s="563">
        <v>8312004</v>
      </c>
      <c r="C33" s="564" t="s">
        <v>89</v>
      </c>
      <c r="D33" s="538" t="s">
        <v>267</v>
      </c>
      <c r="E33" s="565" t="s">
        <v>770</v>
      </c>
      <c r="F33" s="566">
        <v>1</v>
      </c>
      <c r="G33" s="552">
        <v>0</v>
      </c>
      <c r="H33" s="552">
        <v>0</v>
      </c>
      <c r="I33" s="552">
        <v>7</v>
      </c>
      <c r="J33" s="552">
        <v>0</v>
      </c>
      <c r="K33" s="552">
        <v>0</v>
      </c>
      <c r="L33" s="552">
        <v>0</v>
      </c>
      <c r="M33" s="552">
        <v>235</v>
      </c>
      <c r="N33" s="552">
        <v>235</v>
      </c>
      <c r="O33" s="552">
        <v>29</v>
      </c>
      <c r="P33" s="552">
        <v>206</v>
      </c>
      <c r="Q33" s="552">
        <v>0</v>
      </c>
      <c r="R33" s="552">
        <v>0</v>
      </c>
      <c r="S33" s="552">
        <v>0</v>
      </c>
      <c r="T33" s="552">
        <v>0</v>
      </c>
      <c r="U33" s="552">
        <v>0</v>
      </c>
      <c r="V33" s="552">
        <v>0</v>
      </c>
      <c r="W33" s="552">
        <v>0</v>
      </c>
      <c r="X33" s="552">
        <v>0</v>
      </c>
      <c r="Y33" s="552">
        <v>0</v>
      </c>
      <c r="Z33" s="552">
        <v>235</v>
      </c>
      <c r="AA33" s="552">
        <v>33.571428571428569</v>
      </c>
      <c r="AB33" s="552">
        <v>115.0000000000001</v>
      </c>
      <c r="AC33" s="552">
        <v>115.0000000000001</v>
      </c>
      <c r="AD33" s="552">
        <v>0</v>
      </c>
      <c r="AE33" s="552">
        <v>0</v>
      </c>
      <c r="AF33" s="552">
        <v>24.999999999999943</v>
      </c>
      <c r="AG33" s="552">
        <v>47.999999999999957</v>
      </c>
      <c r="AH33" s="552">
        <v>21.999999999999989</v>
      </c>
      <c r="AI33" s="552">
        <v>18.999999999999993</v>
      </c>
      <c r="AJ33" s="552">
        <v>5.9999999999999947</v>
      </c>
      <c r="AK33" s="552">
        <v>12.999999999999998</v>
      </c>
      <c r="AL33" s="552">
        <v>101.99999999999991</v>
      </c>
      <c r="AM33" s="552">
        <v>0</v>
      </c>
      <c r="AN33" s="552">
        <v>0</v>
      </c>
      <c r="AO33" s="552">
        <v>0</v>
      </c>
      <c r="AP33" s="552">
        <v>0</v>
      </c>
      <c r="AQ33" s="552">
        <v>0</v>
      </c>
      <c r="AR33" s="552">
        <v>0</v>
      </c>
      <c r="AS33" s="552">
        <v>0</v>
      </c>
      <c r="AT33" s="552">
        <v>29.660194174757354</v>
      </c>
      <c r="AU33" s="552">
        <v>0</v>
      </c>
      <c r="AV33" s="552">
        <v>77.90537587412588</v>
      </c>
      <c r="AW33" s="552">
        <v>0</v>
      </c>
      <c r="AX33" s="552">
        <v>0</v>
      </c>
      <c r="AY33" s="552">
        <v>0</v>
      </c>
      <c r="AZ33" s="552">
        <v>0</v>
      </c>
      <c r="BA33" s="552">
        <v>0</v>
      </c>
      <c r="BB33" s="552">
        <v>0</v>
      </c>
      <c r="BC33" s="552">
        <v>8.8999999999999986</v>
      </c>
      <c r="BD33" s="552">
        <v>0</v>
      </c>
      <c r="BE33" s="552">
        <v>0.78600000000000003</v>
      </c>
      <c r="BF33" s="552">
        <v>0</v>
      </c>
      <c r="BG33" s="552">
        <v>0</v>
      </c>
      <c r="BH33" s="567">
        <v>0</v>
      </c>
      <c r="BI33" s="552">
        <v>0</v>
      </c>
      <c r="BJ33" s="552">
        <v>1</v>
      </c>
      <c r="BK33" s="552">
        <v>0</v>
      </c>
    </row>
    <row r="34" spans="1:63" ht="14.5" x14ac:dyDescent="0.35">
      <c r="A34" s="563">
        <v>146477</v>
      </c>
      <c r="B34" s="563">
        <v>8312006</v>
      </c>
      <c r="C34" s="564" t="s">
        <v>90</v>
      </c>
      <c r="D34" s="538" t="s">
        <v>267</v>
      </c>
      <c r="E34" s="565" t="s">
        <v>770</v>
      </c>
      <c r="F34" s="566">
        <v>1</v>
      </c>
      <c r="G34" s="552">
        <v>0</v>
      </c>
      <c r="H34" s="552">
        <v>0</v>
      </c>
      <c r="I34" s="552">
        <v>7</v>
      </c>
      <c r="J34" s="552">
        <v>0</v>
      </c>
      <c r="K34" s="552">
        <v>0</v>
      </c>
      <c r="L34" s="552">
        <v>0</v>
      </c>
      <c r="M34" s="552">
        <v>309</v>
      </c>
      <c r="N34" s="552">
        <v>309</v>
      </c>
      <c r="O34" s="552">
        <v>45</v>
      </c>
      <c r="P34" s="552">
        <v>264</v>
      </c>
      <c r="Q34" s="552">
        <v>0</v>
      </c>
      <c r="R34" s="552">
        <v>0</v>
      </c>
      <c r="S34" s="552">
        <v>0</v>
      </c>
      <c r="T34" s="552">
        <v>0</v>
      </c>
      <c r="U34" s="552">
        <v>0</v>
      </c>
      <c r="V34" s="552">
        <v>0</v>
      </c>
      <c r="W34" s="552">
        <v>0</v>
      </c>
      <c r="X34" s="552">
        <v>0</v>
      </c>
      <c r="Y34" s="552">
        <v>0</v>
      </c>
      <c r="Z34" s="552">
        <v>309</v>
      </c>
      <c r="AA34" s="552">
        <v>44.142857142857146</v>
      </c>
      <c r="AB34" s="552">
        <v>14.000000000000004</v>
      </c>
      <c r="AC34" s="552">
        <v>15.999999999999998</v>
      </c>
      <c r="AD34" s="552">
        <v>0</v>
      </c>
      <c r="AE34" s="552">
        <v>0</v>
      </c>
      <c r="AF34" s="552">
        <v>296.00000000000011</v>
      </c>
      <c r="AG34" s="552">
        <v>10.999999999999993</v>
      </c>
      <c r="AH34" s="552">
        <v>1.0000000000000009</v>
      </c>
      <c r="AI34" s="552">
        <v>0</v>
      </c>
      <c r="AJ34" s="552">
        <v>0</v>
      </c>
      <c r="AK34" s="552">
        <v>1.0000000000000009</v>
      </c>
      <c r="AL34" s="552">
        <v>0</v>
      </c>
      <c r="AM34" s="552">
        <v>0</v>
      </c>
      <c r="AN34" s="552">
        <v>0</v>
      </c>
      <c r="AO34" s="552">
        <v>0</v>
      </c>
      <c r="AP34" s="552">
        <v>0</v>
      </c>
      <c r="AQ34" s="552">
        <v>0</v>
      </c>
      <c r="AR34" s="552">
        <v>0</v>
      </c>
      <c r="AS34" s="552">
        <v>0</v>
      </c>
      <c r="AT34" s="552">
        <v>73.738636363636473</v>
      </c>
      <c r="AU34" s="552">
        <v>0</v>
      </c>
      <c r="AV34" s="552">
        <v>71.252499290981234</v>
      </c>
      <c r="AW34" s="552">
        <v>0</v>
      </c>
      <c r="AX34" s="552">
        <v>0</v>
      </c>
      <c r="AY34" s="552">
        <v>0</v>
      </c>
      <c r="AZ34" s="552">
        <v>0</v>
      </c>
      <c r="BA34" s="552">
        <v>0</v>
      </c>
      <c r="BB34" s="552">
        <v>0</v>
      </c>
      <c r="BC34" s="552">
        <v>0</v>
      </c>
      <c r="BD34" s="552">
        <v>0</v>
      </c>
      <c r="BE34" s="552">
        <v>0.79200000000000004</v>
      </c>
      <c r="BF34" s="552">
        <v>0</v>
      </c>
      <c r="BG34" s="552">
        <v>0</v>
      </c>
      <c r="BH34" s="567">
        <v>0</v>
      </c>
      <c r="BI34" s="552">
        <v>0</v>
      </c>
      <c r="BJ34" s="552">
        <v>1</v>
      </c>
      <c r="BK34" s="552">
        <v>0</v>
      </c>
    </row>
    <row r="35" spans="1:63" ht="14.5" x14ac:dyDescent="0.35">
      <c r="A35" s="563">
        <v>138443</v>
      </c>
      <c r="B35" s="563">
        <v>8312007</v>
      </c>
      <c r="C35" s="564" t="s">
        <v>91</v>
      </c>
      <c r="D35" s="538" t="s">
        <v>267</v>
      </c>
      <c r="E35" s="565" t="s">
        <v>770</v>
      </c>
      <c r="F35" s="566">
        <v>1</v>
      </c>
      <c r="G35" s="552">
        <v>0</v>
      </c>
      <c r="H35" s="552">
        <v>0</v>
      </c>
      <c r="I35" s="552">
        <v>7</v>
      </c>
      <c r="J35" s="552">
        <v>0</v>
      </c>
      <c r="K35" s="552">
        <v>0</v>
      </c>
      <c r="L35" s="552">
        <v>0</v>
      </c>
      <c r="M35" s="552">
        <v>403</v>
      </c>
      <c r="N35" s="552">
        <v>403</v>
      </c>
      <c r="O35" s="552">
        <v>55</v>
      </c>
      <c r="P35" s="552">
        <v>348</v>
      </c>
      <c r="Q35" s="552">
        <v>0</v>
      </c>
      <c r="R35" s="552">
        <v>0</v>
      </c>
      <c r="S35" s="552">
        <v>0</v>
      </c>
      <c r="T35" s="552">
        <v>0</v>
      </c>
      <c r="U35" s="552">
        <v>0</v>
      </c>
      <c r="V35" s="552">
        <v>0</v>
      </c>
      <c r="W35" s="552">
        <v>0</v>
      </c>
      <c r="X35" s="552">
        <v>0</v>
      </c>
      <c r="Y35" s="552">
        <v>0</v>
      </c>
      <c r="Z35" s="552">
        <v>403</v>
      </c>
      <c r="AA35" s="552">
        <v>57.571428571428569</v>
      </c>
      <c r="AB35" s="552">
        <v>123.00000000000004</v>
      </c>
      <c r="AC35" s="552">
        <v>124.99999999999982</v>
      </c>
      <c r="AD35" s="552">
        <v>0</v>
      </c>
      <c r="AE35" s="552">
        <v>0</v>
      </c>
      <c r="AF35" s="552">
        <v>80.000000000000099</v>
      </c>
      <c r="AG35" s="552">
        <v>26.000000000000018</v>
      </c>
      <c r="AH35" s="552">
        <v>67.999999999999801</v>
      </c>
      <c r="AI35" s="552">
        <v>0</v>
      </c>
      <c r="AJ35" s="552">
        <v>62.000000000000057</v>
      </c>
      <c r="AK35" s="552">
        <v>158.00000000000003</v>
      </c>
      <c r="AL35" s="552">
        <v>8.9999999999999822</v>
      </c>
      <c r="AM35" s="552">
        <v>0</v>
      </c>
      <c r="AN35" s="552">
        <v>0</v>
      </c>
      <c r="AO35" s="552">
        <v>0</v>
      </c>
      <c r="AP35" s="552">
        <v>0</v>
      </c>
      <c r="AQ35" s="552">
        <v>0</v>
      </c>
      <c r="AR35" s="552">
        <v>0</v>
      </c>
      <c r="AS35" s="552">
        <v>0</v>
      </c>
      <c r="AT35" s="552">
        <v>67.166666666666799</v>
      </c>
      <c r="AU35" s="552">
        <v>0</v>
      </c>
      <c r="AV35" s="552">
        <v>107.78608034122742</v>
      </c>
      <c r="AW35" s="552">
        <v>0</v>
      </c>
      <c r="AX35" s="552">
        <v>0</v>
      </c>
      <c r="AY35" s="552">
        <v>0</v>
      </c>
      <c r="AZ35" s="552">
        <v>0</v>
      </c>
      <c r="BA35" s="552">
        <v>0</v>
      </c>
      <c r="BB35" s="552">
        <v>0</v>
      </c>
      <c r="BC35" s="552">
        <v>1.8200000000000169</v>
      </c>
      <c r="BD35" s="552">
        <v>0</v>
      </c>
      <c r="BE35" s="552">
        <v>0.61299999999999999</v>
      </c>
      <c r="BF35" s="552">
        <v>0</v>
      </c>
      <c r="BG35" s="552">
        <v>0</v>
      </c>
      <c r="BH35" s="567">
        <v>0</v>
      </c>
      <c r="BI35" s="552">
        <v>0</v>
      </c>
      <c r="BJ35" s="552">
        <v>1</v>
      </c>
      <c r="BK35" s="552">
        <v>0</v>
      </c>
    </row>
    <row r="36" spans="1:63" ht="14.5" x14ac:dyDescent="0.35">
      <c r="A36" s="563">
        <v>138514</v>
      </c>
      <c r="B36" s="563">
        <v>8312008</v>
      </c>
      <c r="C36" s="564" t="s">
        <v>92</v>
      </c>
      <c r="D36" s="538" t="s">
        <v>267</v>
      </c>
      <c r="E36" s="565" t="s">
        <v>770</v>
      </c>
      <c r="F36" s="566">
        <v>1</v>
      </c>
      <c r="G36" s="552">
        <v>0</v>
      </c>
      <c r="H36" s="552">
        <v>0</v>
      </c>
      <c r="I36" s="552">
        <v>7</v>
      </c>
      <c r="J36" s="552">
        <v>0</v>
      </c>
      <c r="K36" s="552">
        <v>0</v>
      </c>
      <c r="L36" s="552">
        <v>0</v>
      </c>
      <c r="M36" s="552">
        <v>181</v>
      </c>
      <c r="N36" s="552">
        <v>181</v>
      </c>
      <c r="O36" s="552">
        <v>13</v>
      </c>
      <c r="P36" s="552">
        <v>168</v>
      </c>
      <c r="Q36" s="552">
        <v>0</v>
      </c>
      <c r="R36" s="552">
        <v>0</v>
      </c>
      <c r="S36" s="552">
        <v>0</v>
      </c>
      <c r="T36" s="552">
        <v>0</v>
      </c>
      <c r="U36" s="552">
        <v>0</v>
      </c>
      <c r="V36" s="552">
        <v>0</v>
      </c>
      <c r="W36" s="552">
        <v>0</v>
      </c>
      <c r="X36" s="552">
        <v>0</v>
      </c>
      <c r="Y36" s="552">
        <v>0</v>
      </c>
      <c r="Z36" s="552">
        <v>181</v>
      </c>
      <c r="AA36" s="552">
        <v>25.857142857142858</v>
      </c>
      <c r="AB36" s="552">
        <v>30.999999999999964</v>
      </c>
      <c r="AC36" s="552">
        <v>33.999999999999943</v>
      </c>
      <c r="AD36" s="552">
        <v>0</v>
      </c>
      <c r="AE36" s="552">
        <v>0</v>
      </c>
      <c r="AF36" s="552">
        <v>45.25</v>
      </c>
      <c r="AG36" s="552">
        <v>31.880681818181884</v>
      </c>
      <c r="AH36" s="552">
        <v>27.767045454545471</v>
      </c>
      <c r="AI36" s="552">
        <v>1.0284090909090906</v>
      </c>
      <c r="AJ36" s="552">
        <v>37.022727272727359</v>
      </c>
      <c r="AK36" s="552">
        <v>25.710227272727355</v>
      </c>
      <c r="AL36" s="552">
        <v>12.340909090909095</v>
      </c>
      <c r="AM36" s="552">
        <v>0</v>
      </c>
      <c r="AN36" s="552">
        <v>0</v>
      </c>
      <c r="AO36" s="552">
        <v>0</v>
      </c>
      <c r="AP36" s="552">
        <v>0</v>
      </c>
      <c r="AQ36" s="552">
        <v>0</v>
      </c>
      <c r="AR36" s="552">
        <v>0</v>
      </c>
      <c r="AS36" s="552">
        <v>0</v>
      </c>
      <c r="AT36" s="552">
        <v>32.321428571428648</v>
      </c>
      <c r="AU36" s="552">
        <v>0</v>
      </c>
      <c r="AV36" s="552">
        <v>47.236614511124287</v>
      </c>
      <c r="AW36" s="552">
        <v>0</v>
      </c>
      <c r="AX36" s="552">
        <v>0</v>
      </c>
      <c r="AY36" s="552">
        <v>0</v>
      </c>
      <c r="AZ36" s="552">
        <v>0</v>
      </c>
      <c r="BA36" s="552">
        <v>0</v>
      </c>
      <c r="BB36" s="552">
        <v>0</v>
      </c>
      <c r="BC36" s="552">
        <v>3.1399999999999921</v>
      </c>
      <c r="BD36" s="552">
        <v>0</v>
      </c>
      <c r="BE36" s="552">
        <v>0.45900000000000002</v>
      </c>
      <c r="BF36" s="552">
        <v>0</v>
      </c>
      <c r="BG36" s="552">
        <v>0</v>
      </c>
      <c r="BH36" s="567">
        <v>0</v>
      </c>
      <c r="BI36" s="552">
        <v>0</v>
      </c>
      <c r="BJ36" s="552">
        <v>1</v>
      </c>
      <c r="BK36" s="552">
        <v>0</v>
      </c>
    </row>
    <row r="37" spans="1:63" ht="14.5" x14ac:dyDescent="0.35">
      <c r="A37" s="563">
        <v>138790</v>
      </c>
      <c r="B37" s="563">
        <v>8312009</v>
      </c>
      <c r="C37" s="564" t="s">
        <v>93</v>
      </c>
      <c r="D37" s="538" t="s">
        <v>267</v>
      </c>
      <c r="E37" s="565" t="s">
        <v>770</v>
      </c>
      <c r="F37" s="566">
        <v>1</v>
      </c>
      <c r="G37" s="552">
        <v>0</v>
      </c>
      <c r="H37" s="552">
        <v>0</v>
      </c>
      <c r="I37" s="552">
        <v>7</v>
      </c>
      <c r="J37" s="552">
        <v>0</v>
      </c>
      <c r="K37" s="552">
        <v>0</v>
      </c>
      <c r="L37" s="552">
        <v>0</v>
      </c>
      <c r="M37" s="552">
        <v>213</v>
      </c>
      <c r="N37" s="552">
        <v>213</v>
      </c>
      <c r="O37" s="552">
        <v>22</v>
      </c>
      <c r="P37" s="552">
        <v>191</v>
      </c>
      <c r="Q37" s="552">
        <v>0</v>
      </c>
      <c r="R37" s="552">
        <v>0</v>
      </c>
      <c r="S37" s="552">
        <v>0</v>
      </c>
      <c r="T37" s="552">
        <v>0</v>
      </c>
      <c r="U37" s="552">
        <v>0</v>
      </c>
      <c r="V37" s="552">
        <v>0</v>
      </c>
      <c r="W37" s="552">
        <v>0</v>
      </c>
      <c r="X37" s="552">
        <v>0</v>
      </c>
      <c r="Y37" s="552">
        <v>0</v>
      </c>
      <c r="Z37" s="552">
        <v>213</v>
      </c>
      <c r="AA37" s="552">
        <v>30.428571428571427</v>
      </c>
      <c r="AB37" s="552">
        <v>130.00000000000009</v>
      </c>
      <c r="AC37" s="552">
        <v>132</v>
      </c>
      <c r="AD37" s="552">
        <v>0</v>
      </c>
      <c r="AE37" s="552">
        <v>0</v>
      </c>
      <c r="AF37" s="552">
        <v>41.999999999999936</v>
      </c>
      <c r="AG37" s="552">
        <v>8.0000000000000018</v>
      </c>
      <c r="AH37" s="552">
        <v>19</v>
      </c>
      <c r="AI37" s="552">
        <v>4.0000000000000009</v>
      </c>
      <c r="AJ37" s="552">
        <v>57.000000000000021</v>
      </c>
      <c r="AK37" s="552">
        <v>65.999999999999901</v>
      </c>
      <c r="AL37" s="552">
        <v>17.000000000000007</v>
      </c>
      <c r="AM37" s="552">
        <v>0</v>
      </c>
      <c r="AN37" s="552">
        <v>0</v>
      </c>
      <c r="AO37" s="552">
        <v>0</v>
      </c>
      <c r="AP37" s="552">
        <v>0</v>
      </c>
      <c r="AQ37" s="552">
        <v>0</v>
      </c>
      <c r="AR37" s="552">
        <v>0</v>
      </c>
      <c r="AS37" s="552">
        <v>0</v>
      </c>
      <c r="AT37" s="552">
        <v>36.801047120418922</v>
      </c>
      <c r="AU37" s="552">
        <v>0</v>
      </c>
      <c r="AV37" s="552">
        <v>95.674678550555271</v>
      </c>
      <c r="AW37" s="552">
        <v>0</v>
      </c>
      <c r="AX37" s="552">
        <v>0</v>
      </c>
      <c r="AY37" s="552">
        <v>0</v>
      </c>
      <c r="AZ37" s="552">
        <v>0</v>
      </c>
      <c r="BA37" s="552">
        <v>0</v>
      </c>
      <c r="BB37" s="552">
        <v>0</v>
      </c>
      <c r="BC37" s="552">
        <v>6.22</v>
      </c>
      <c r="BD37" s="552">
        <v>0</v>
      </c>
      <c r="BE37" s="552">
        <v>0.53100000000000003</v>
      </c>
      <c r="BF37" s="552">
        <v>0</v>
      </c>
      <c r="BG37" s="552">
        <v>0</v>
      </c>
      <c r="BH37" s="567">
        <v>0</v>
      </c>
      <c r="BI37" s="552">
        <v>0</v>
      </c>
      <c r="BJ37" s="552">
        <v>1</v>
      </c>
      <c r="BK37" s="552">
        <v>0</v>
      </c>
    </row>
    <row r="38" spans="1:63" ht="14.5" x14ac:dyDescent="0.35">
      <c r="A38" s="563">
        <v>138992</v>
      </c>
      <c r="B38" s="563">
        <v>8312010</v>
      </c>
      <c r="C38" s="564" t="s">
        <v>94</v>
      </c>
      <c r="D38" s="538" t="s">
        <v>267</v>
      </c>
      <c r="E38" s="565" t="s">
        <v>770</v>
      </c>
      <c r="F38" s="566">
        <v>1</v>
      </c>
      <c r="G38" s="552">
        <v>0</v>
      </c>
      <c r="H38" s="552">
        <v>0</v>
      </c>
      <c r="I38" s="552">
        <v>7</v>
      </c>
      <c r="J38" s="552">
        <v>0</v>
      </c>
      <c r="K38" s="552">
        <v>0</v>
      </c>
      <c r="L38" s="552">
        <v>0</v>
      </c>
      <c r="M38" s="552">
        <v>204</v>
      </c>
      <c r="N38" s="552">
        <v>204</v>
      </c>
      <c r="O38" s="552">
        <v>27</v>
      </c>
      <c r="P38" s="552">
        <v>177</v>
      </c>
      <c r="Q38" s="552">
        <v>0</v>
      </c>
      <c r="R38" s="552">
        <v>0</v>
      </c>
      <c r="S38" s="552">
        <v>0</v>
      </c>
      <c r="T38" s="552">
        <v>0</v>
      </c>
      <c r="U38" s="552">
        <v>0</v>
      </c>
      <c r="V38" s="552">
        <v>0</v>
      </c>
      <c r="W38" s="552">
        <v>0</v>
      </c>
      <c r="X38" s="552">
        <v>0</v>
      </c>
      <c r="Y38" s="552">
        <v>0</v>
      </c>
      <c r="Z38" s="552">
        <v>204</v>
      </c>
      <c r="AA38" s="552">
        <v>29.142857142857142</v>
      </c>
      <c r="AB38" s="552">
        <v>118.99999999999994</v>
      </c>
      <c r="AC38" s="552">
        <v>118.99999999999994</v>
      </c>
      <c r="AD38" s="552">
        <v>0</v>
      </c>
      <c r="AE38" s="552">
        <v>0</v>
      </c>
      <c r="AF38" s="552">
        <v>42.999999999999957</v>
      </c>
      <c r="AG38" s="552">
        <v>0</v>
      </c>
      <c r="AH38" s="552">
        <v>18.000000000000011</v>
      </c>
      <c r="AI38" s="552">
        <v>3.0000000000000049</v>
      </c>
      <c r="AJ38" s="552">
        <v>73.000000000000014</v>
      </c>
      <c r="AK38" s="552">
        <v>63.999999999999908</v>
      </c>
      <c r="AL38" s="552">
        <v>3.0000000000000049</v>
      </c>
      <c r="AM38" s="552">
        <v>0</v>
      </c>
      <c r="AN38" s="552">
        <v>0</v>
      </c>
      <c r="AO38" s="552">
        <v>0</v>
      </c>
      <c r="AP38" s="552">
        <v>0</v>
      </c>
      <c r="AQ38" s="552">
        <v>0</v>
      </c>
      <c r="AR38" s="552">
        <v>0</v>
      </c>
      <c r="AS38" s="552">
        <v>0</v>
      </c>
      <c r="AT38" s="552">
        <v>44.949152542372786</v>
      </c>
      <c r="AU38" s="552">
        <v>0</v>
      </c>
      <c r="AV38" s="552">
        <v>62.93591758337697</v>
      </c>
      <c r="AW38" s="552">
        <v>0</v>
      </c>
      <c r="AX38" s="552">
        <v>0</v>
      </c>
      <c r="AY38" s="552">
        <v>0</v>
      </c>
      <c r="AZ38" s="552">
        <v>0</v>
      </c>
      <c r="BA38" s="552">
        <v>0</v>
      </c>
      <c r="BB38" s="552">
        <v>0</v>
      </c>
      <c r="BC38" s="552">
        <v>5.7600000000000104</v>
      </c>
      <c r="BD38" s="552">
        <v>0</v>
      </c>
      <c r="BE38" s="552">
        <v>0.71599999999999997</v>
      </c>
      <c r="BF38" s="552">
        <v>0</v>
      </c>
      <c r="BG38" s="552">
        <v>0</v>
      </c>
      <c r="BH38" s="567">
        <v>0</v>
      </c>
      <c r="BI38" s="552">
        <v>0</v>
      </c>
      <c r="BJ38" s="552">
        <v>1</v>
      </c>
      <c r="BK38" s="552">
        <v>0</v>
      </c>
    </row>
    <row r="39" spans="1:63" ht="14.5" x14ac:dyDescent="0.35">
      <c r="A39" s="563">
        <v>140842</v>
      </c>
      <c r="B39" s="563">
        <v>8312011</v>
      </c>
      <c r="C39" s="564" t="s">
        <v>95</v>
      </c>
      <c r="D39" s="538" t="s">
        <v>267</v>
      </c>
      <c r="E39" s="565" t="s">
        <v>770</v>
      </c>
      <c r="F39" s="566">
        <v>1</v>
      </c>
      <c r="G39" s="552">
        <v>0</v>
      </c>
      <c r="H39" s="552">
        <v>0</v>
      </c>
      <c r="I39" s="552">
        <v>7</v>
      </c>
      <c r="J39" s="552">
        <v>0</v>
      </c>
      <c r="K39" s="552">
        <v>0</v>
      </c>
      <c r="L39" s="552">
        <v>0</v>
      </c>
      <c r="M39" s="552">
        <v>222</v>
      </c>
      <c r="N39" s="552">
        <v>222</v>
      </c>
      <c r="O39" s="552">
        <v>30</v>
      </c>
      <c r="P39" s="552">
        <v>192</v>
      </c>
      <c r="Q39" s="552">
        <v>0</v>
      </c>
      <c r="R39" s="552">
        <v>0</v>
      </c>
      <c r="S39" s="552">
        <v>0</v>
      </c>
      <c r="T39" s="552">
        <v>0</v>
      </c>
      <c r="U39" s="552">
        <v>0</v>
      </c>
      <c r="V39" s="552">
        <v>0</v>
      </c>
      <c r="W39" s="552">
        <v>0</v>
      </c>
      <c r="X39" s="552">
        <v>0</v>
      </c>
      <c r="Y39" s="552">
        <v>0</v>
      </c>
      <c r="Z39" s="552">
        <v>222</v>
      </c>
      <c r="AA39" s="552">
        <v>31.714285714285715</v>
      </c>
      <c r="AB39" s="552">
        <v>91.000000000000014</v>
      </c>
      <c r="AC39" s="552">
        <v>91.000000000000014</v>
      </c>
      <c r="AD39" s="552">
        <v>0</v>
      </c>
      <c r="AE39" s="552">
        <v>0</v>
      </c>
      <c r="AF39" s="552">
        <v>23.999999999999975</v>
      </c>
      <c r="AG39" s="552">
        <v>11.000000000000011</v>
      </c>
      <c r="AH39" s="552">
        <v>107</v>
      </c>
      <c r="AI39" s="552">
        <v>35.000000000000071</v>
      </c>
      <c r="AJ39" s="552">
        <v>29.000000000000078</v>
      </c>
      <c r="AK39" s="552">
        <v>15.000000000000007</v>
      </c>
      <c r="AL39" s="552">
        <v>0.999999999999999</v>
      </c>
      <c r="AM39" s="552">
        <v>0</v>
      </c>
      <c r="AN39" s="552">
        <v>0</v>
      </c>
      <c r="AO39" s="552">
        <v>0</v>
      </c>
      <c r="AP39" s="552">
        <v>0</v>
      </c>
      <c r="AQ39" s="552">
        <v>0</v>
      </c>
      <c r="AR39" s="552">
        <v>0</v>
      </c>
      <c r="AS39" s="552">
        <v>0</v>
      </c>
      <c r="AT39" s="552">
        <v>27.75</v>
      </c>
      <c r="AU39" s="552">
        <v>0</v>
      </c>
      <c r="AV39" s="552">
        <v>68.501748251748211</v>
      </c>
      <c r="AW39" s="552">
        <v>0</v>
      </c>
      <c r="AX39" s="552">
        <v>0</v>
      </c>
      <c r="AY39" s="552">
        <v>0</v>
      </c>
      <c r="AZ39" s="552">
        <v>0</v>
      </c>
      <c r="BA39" s="552">
        <v>0</v>
      </c>
      <c r="BB39" s="552">
        <v>0</v>
      </c>
      <c r="BC39" s="552">
        <v>5.6800000000000033</v>
      </c>
      <c r="BD39" s="552">
        <v>0</v>
      </c>
      <c r="BE39" s="552">
        <v>0.44400000000000001</v>
      </c>
      <c r="BF39" s="552">
        <v>0</v>
      </c>
      <c r="BG39" s="552">
        <v>0</v>
      </c>
      <c r="BH39" s="567">
        <v>0</v>
      </c>
      <c r="BI39" s="552">
        <v>0</v>
      </c>
      <c r="BJ39" s="552">
        <v>1</v>
      </c>
      <c r="BK39" s="552">
        <v>0</v>
      </c>
    </row>
    <row r="40" spans="1:63" ht="14.5" x14ac:dyDescent="0.35">
      <c r="A40" s="563">
        <v>141324</v>
      </c>
      <c r="B40" s="563">
        <v>8312012</v>
      </c>
      <c r="C40" s="564" t="s">
        <v>96</v>
      </c>
      <c r="D40" s="538" t="s">
        <v>267</v>
      </c>
      <c r="E40" s="565" t="s">
        <v>770</v>
      </c>
      <c r="F40" s="566">
        <v>1</v>
      </c>
      <c r="G40" s="552">
        <v>0</v>
      </c>
      <c r="H40" s="552">
        <v>0</v>
      </c>
      <c r="I40" s="552">
        <v>7</v>
      </c>
      <c r="J40" s="552">
        <v>0</v>
      </c>
      <c r="K40" s="552">
        <v>0</v>
      </c>
      <c r="L40" s="552">
        <v>0</v>
      </c>
      <c r="M40" s="552">
        <v>291</v>
      </c>
      <c r="N40" s="552">
        <v>291</v>
      </c>
      <c r="O40" s="552">
        <v>25</v>
      </c>
      <c r="P40" s="552">
        <v>266</v>
      </c>
      <c r="Q40" s="552">
        <v>0</v>
      </c>
      <c r="R40" s="552">
        <v>0</v>
      </c>
      <c r="S40" s="552">
        <v>0</v>
      </c>
      <c r="T40" s="552">
        <v>0</v>
      </c>
      <c r="U40" s="552">
        <v>0</v>
      </c>
      <c r="V40" s="552">
        <v>0</v>
      </c>
      <c r="W40" s="552">
        <v>0</v>
      </c>
      <c r="X40" s="552">
        <v>0</v>
      </c>
      <c r="Y40" s="552">
        <v>0</v>
      </c>
      <c r="Z40" s="552">
        <v>291</v>
      </c>
      <c r="AA40" s="552">
        <v>41.571428571428569</v>
      </c>
      <c r="AB40" s="552">
        <v>182.99999999999989</v>
      </c>
      <c r="AC40" s="552">
        <v>182.99999999999989</v>
      </c>
      <c r="AD40" s="552">
        <v>0</v>
      </c>
      <c r="AE40" s="552">
        <v>0</v>
      </c>
      <c r="AF40" s="552">
        <v>14.999999999999995</v>
      </c>
      <c r="AG40" s="552">
        <v>10.000000000000007</v>
      </c>
      <c r="AH40" s="552">
        <v>9.0000000000000018</v>
      </c>
      <c r="AI40" s="552">
        <v>1.0000000000000007</v>
      </c>
      <c r="AJ40" s="552">
        <v>43.999999999999858</v>
      </c>
      <c r="AK40" s="552">
        <v>166</v>
      </c>
      <c r="AL40" s="552">
        <v>45.999999999999872</v>
      </c>
      <c r="AM40" s="552">
        <v>0</v>
      </c>
      <c r="AN40" s="552">
        <v>0</v>
      </c>
      <c r="AO40" s="552">
        <v>0</v>
      </c>
      <c r="AP40" s="552">
        <v>0</v>
      </c>
      <c r="AQ40" s="552">
        <v>0</v>
      </c>
      <c r="AR40" s="552">
        <v>0</v>
      </c>
      <c r="AS40" s="552">
        <v>0</v>
      </c>
      <c r="AT40" s="552">
        <v>55.793233082706863</v>
      </c>
      <c r="AU40" s="552">
        <v>0</v>
      </c>
      <c r="AV40" s="552">
        <v>127.15116384203506</v>
      </c>
      <c r="AW40" s="552">
        <v>0</v>
      </c>
      <c r="AX40" s="552">
        <v>0</v>
      </c>
      <c r="AY40" s="552">
        <v>0</v>
      </c>
      <c r="AZ40" s="552">
        <v>0</v>
      </c>
      <c r="BA40" s="552">
        <v>0</v>
      </c>
      <c r="BB40" s="552">
        <v>0</v>
      </c>
      <c r="BC40" s="552">
        <v>18.540000000000127</v>
      </c>
      <c r="BD40" s="552">
        <v>0</v>
      </c>
      <c r="BE40" s="552">
        <v>0.54800000000000004</v>
      </c>
      <c r="BF40" s="552">
        <v>0</v>
      </c>
      <c r="BG40" s="552">
        <v>0</v>
      </c>
      <c r="BH40" s="567">
        <v>0</v>
      </c>
      <c r="BI40" s="552">
        <v>0</v>
      </c>
      <c r="BJ40" s="552">
        <v>1</v>
      </c>
      <c r="BK40" s="552">
        <v>0</v>
      </c>
    </row>
    <row r="41" spans="1:63" ht="14.5" x14ac:dyDescent="0.35">
      <c r="A41" s="563">
        <v>142041</v>
      </c>
      <c r="B41" s="563">
        <v>8312013</v>
      </c>
      <c r="C41" s="564" t="s">
        <v>97</v>
      </c>
      <c r="D41" s="538" t="s">
        <v>267</v>
      </c>
      <c r="E41" s="565" t="s">
        <v>770</v>
      </c>
      <c r="F41" s="566">
        <v>1</v>
      </c>
      <c r="G41" s="552">
        <v>0</v>
      </c>
      <c r="H41" s="552">
        <v>0</v>
      </c>
      <c r="I41" s="552">
        <v>7</v>
      </c>
      <c r="J41" s="552">
        <v>0</v>
      </c>
      <c r="K41" s="552">
        <v>0</v>
      </c>
      <c r="L41" s="552">
        <v>0</v>
      </c>
      <c r="M41" s="552">
        <v>422</v>
      </c>
      <c r="N41" s="552">
        <v>422</v>
      </c>
      <c r="O41" s="552">
        <v>60</v>
      </c>
      <c r="P41" s="552">
        <v>362</v>
      </c>
      <c r="Q41" s="552">
        <v>0</v>
      </c>
      <c r="R41" s="552">
        <v>0</v>
      </c>
      <c r="S41" s="552">
        <v>0</v>
      </c>
      <c r="T41" s="552">
        <v>0</v>
      </c>
      <c r="U41" s="552">
        <v>0</v>
      </c>
      <c r="V41" s="552">
        <v>0</v>
      </c>
      <c r="W41" s="552">
        <v>0</v>
      </c>
      <c r="X41" s="552">
        <v>0</v>
      </c>
      <c r="Y41" s="552">
        <v>0</v>
      </c>
      <c r="Z41" s="552">
        <v>422</v>
      </c>
      <c r="AA41" s="552">
        <v>60.285714285714285</v>
      </c>
      <c r="AB41" s="552">
        <v>275.99999999999983</v>
      </c>
      <c r="AC41" s="552">
        <v>275.99999999999983</v>
      </c>
      <c r="AD41" s="552">
        <v>0</v>
      </c>
      <c r="AE41" s="552">
        <v>0</v>
      </c>
      <c r="AF41" s="552">
        <v>15.000000000000014</v>
      </c>
      <c r="AG41" s="552">
        <v>16.000000000000014</v>
      </c>
      <c r="AH41" s="552">
        <v>164.00000000000017</v>
      </c>
      <c r="AI41" s="552">
        <v>72.000000000000071</v>
      </c>
      <c r="AJ41" s="552">
        <v>88.999999999999872</v>
      </c>
      <c r="AK41" s="552">
        <v>60.000000000000057</v>
      </c>
      <c r="AL41" s="552">
        <v>6.0000000000000062</v>
      </c>
      <c r="AM41" s="552">
        <v>0</v>
      </c>
      <c r="AN41" s="552">
        <v>0</v>
      </c>
      <c r="AO41" s="552">
        <v>0</v>
      </c>
      <c r="AP41" s="552">
        <v>0</v>
      </c>
      <c r="AQ41" s="552">
        <v>0</v>
      </c>
      <c r="AR41" s="552">
        <v>0</v>
      </c>
      <c r="AS41" s="552">
        <v>0</v>
      </c>
      <c r="AT41" s="552">
        <v>208.66850828729284</v>
      </c>
      <c r="AU41" s="552">
        <v>0</v>
      </c>
      <c r="AV41" s="552">
        <v>211.49155503785676</v>
      </c>
      <c r="AW41" s="552">
        <v>0</v>
      </c>
      <c r="AX41" s="552">
        <v>0</v>
      </c>
      <c r="AY41" s="552">
        <v>0</v>
      </c>
      <c r="AZ41" s="552">
        <v>0</v>
      </c>
      <c r="BA41" s="552">
        <v>0</v>
      </c>
      <c r="BB41" s="552">
        <v>0</v>
      </c>
      <c r="BC41" s="552">
        <v>59.881900237529599</v>
      </c>
      <c r="BD41" s="552">
        <v>0</v>
      </c>
      <c r="BE41" s="552">
        <v>0.39600000000000002</v>
      </c>
      <c r="BF41" s="552">
        <v>0</v>
      </c>
      <c r="BG41" s="552">
        <v>0</v>
      </c>
      <c r="BH41" s="567">
        <v>0</v>
      </c>
      <c r="BI41" s="552">
        <v>0</v>
      </c>
      <c r="BJ41" s="552">
        <v>1</v>
      </c>
      <c r="BK41" s="552">
        <v>0</v>
      </c>
    </row>
    <row r="42" spans="1:63" ht="14.5" x14ac:dyDescent="0.35">
      <c r="A42" s="563">
        <v>144343</v>
      </c>
      <c r="B42" s="563">
        <v>8312016</v>
      </c>
      <c r="C42" s="564" t="s">
        <v>99</v>
      </c>
      <c r="D42" s="538" t="s">
        <v>267</v>
      </c>
      <c r="E42" s="565" t="s">
        <v>770</v>
      </c>
      <c r="F42" s="566">
        <v>1</v>
      </c>
      <c r="G42" s="552">
        <v>0</v>
      </c>
      <c r="H42" s="552">
        <v>0</v>
      </c>
      <c r="I42" s="552">
        <v>7</v>
      </c>
      <c r="J42" s="552">
        <v>0</v>
      </c>
      <c r="K42" s="552">
        <v>0</v>
      </c>
      <c r="L42" s="552">
        <v>0</v>
      </c>
      <c r="M42" s="552">
        <v>272</v>
      </c>
      <c r="N42" s="552">
        <v>272</v>
      </c>
      <c r="O42" s="552">
        <v>43</v>
      </c>
      <c r="P42" s="552">
        <v>229</v>
      </c>
      <c r="Q42" s="552">
        <v>0</v>
      </c>
      <c r="R42" s="552">
        <v>0</v>
      </c>
      <c r="S42" s="552">
        <v>0</v>
      </c>
      <c r="T42" s="552">
        <v>0</v>
      </c>
      <c r="U42" s="552">
        <v>0</v>
      </c>
      <c r="V42" s="552">
        <v>0</v>
      </c>
      <c r="W42" s="552">
        <v>0</v>
      </c>
      <c r="X42" s="552">
        <v>0</v>
      </c>
      <c r="Y42" s="552">
        <v>0</v>
      </c>
      <c r="Z42" s="552">
        <v>272</v>
      </c>
      <c r="AA42" s="552">
        <v>38.857142857142854</v>
      </c>
      <c r="AB42" s="552">
        <v>128.00000000000009</v>
      </c>
      <c r="AC42" s="552">
        <v>128.00000000000009</v>
      </c>
      <c r="AD42" s="552">
        <v>0</v>
      </c>
      <c r="AE42" s="552">
        <v>0</v>
      </c>
      <c r="AF42" s="552">
        <v>26.999999999999986</v>
      </c>
      <c r="AG42" s="552">
        <v>19.000000000000004</v>
      </c>
      <c r="AH42" s="552">
        <v>58.999999999999901</v>
      </c>
      <c r="AI42" s="552">
        <v>5.000000000000008</v>
      </c>
      <c r="AJ42" s="552">
        <v>2.0000000000000004</v>
      </c>
      <c r="AK42" s="552">
        <v>12.999999999999993</v>
      </c>
      <c r="AL42" s="552">
        <v>146.99999999999994</v>
      </c>
      <c r="AM42" s="552">
        <v>0</v>
      </c>
      <c r="AN42" s="552">
        <v>0</v>
      </c>
      <c r="AO42" s="552">
        <v>0</v>
      </c>
      <c r="AP42" s="552">
        <v>0</v>
      </c>
      <c r="AQ42" s="552">
        <v>0</v>
      </c>
      <c r="AR42" s="552">
        <v>0</v>
      </c>
      <c r="AS42" s="552">
        <v>0</v>
      </c>
      <c r="AT42" s="552">
        <v>67.703056768558824</v>
      </c>
      <c r="AU42" s="552">
        <v>0</v>
      </c>
      <c r="AV42" s="552">
        <v>96.568848067355489</v>
      </c>
      <c r="AW42" s="552">
        <v>0</v>
      </c>
      <c r="AX42" s="552">
        <v>0</v>
      </c>
      <c r="AY42" s="552">
        <v>0</v>
      </c>
      <c r="AZ42" s="552">
        <v>0</v>
      </c>
      <c r="BA42" s="552">
        <v>0</v>
      </c>
      <c r="BB42" s="552">
        <v>0</v>
      </c>
      <c r="BC42" s="552">
        <v>32.679999999999886</v>
      </c>
      <c r="BD42" s="552">
        <v>0</v>
      </c>
      <c r="BE42" s="552">
        <v>0.59099999999999997</v>
      </c>
      <c r="BF42" s="552">
        <v>0</v>
      </c>
      <c r="BG42" s="552">
        <v>0</v>
      </c>
      <c r="BH42" s="567">
        <v>0</v>
      </c>
      <c r="BI42" s="552">
        <v>0</v>
      </c>
      <c r="BJ42" s="552">
        <v>1</v>
      </c>
      <c r="BK42" s="552">
        <v>0</v>
      </c>
    </row>
    <row r="43" spans="1:63" ht="14.5" x14ac:dyDescent="0.35">
      <c r="A43" s="563">
        <v>144466</v>
      </c>
      <c r="B43" s="563">
        <v>8312017</v>
      </c>
      <c r="C43" s="564" t="s">
        <v>100</v>
      </c>
      <c r="D43" s="538" t="s">
        <v>267</v>
      </c>
      <c r="E43" s="565" t="s">
        <v>770</v>
      </c>
      <c r="F43" s="566">
        <v>1</v>
      </c>
      <c r="G43" s="552">
        <v>0</v>
      </c>
      <c r="H43" s="552">
        <v>0</v>
      </c>
      <c r="I43" s="552">
        <v>4</v>
      </c>
      <c r="J43" s="552">
        <v>0</v>
      </c>
      <c r="K43" s="552">
        <v>0</v>
      </c>
      <c r="L43" s="552">
        <v>0</v>
      </c>
      <c r="M43" s="552">
        <v>358</v>
      </c>
      <c r="N43" s="552">
        <v>358</v>
      </c>
      <c r="O43" s="552">
        <v>0</v>
      </c>
      <c r="P43" s="552">
        <v>358</v>
      </c>
      <c r="Q43" s="552">
        <v>0</v>
      </c>
      <c r="R43" s="552">
        <v>0</v>
      </c>
      <c r="S43" s="552">
        <v>0</v>
      </c>
      <c r="T43" s="552">
        <v>0</v>
      </c>
      <c r="U43" s="552">
        <v>0</v>
      </c>
      <c r="V43" s="552">
        <v>0</v>
      </c>
      <c r="W43" s="552">
        <v>0</v>
      </c>
      <c r="X43" s="552">
        <v>0</v>
      </c>
      <c r="Y43" s="552">
        <v>0</v>
      </c>
      <c r="Z43" s="552">
        <v>358</v>
      </c>
      <c r="AA43" s="552">
        <v>89.5</v>
      </c>
      <c r="AB43" s="552">
        <v>265.99999999999989</v>
      </c>
      <c r="AC43" s="552">
        <v>271.00000000000011</v>
      </c>
      <c r="AD43" s="552">
        <v>0</v>
      </c>
      <c r="AE43" s="552">
        <v>0</v>
      </c>
      <c r="AF43" s="552">
        <v>9.0000000000000089</v>
      </c>
      <c r="AG43" s="552">
        <v>40</v>
      </c>
      <c r="AH43" s="552">
        <v>35.999999999999964</v>
      </c>
      <c r="AI43" s="552">
        <v>124.99999999999987</v>
      </c>
      <c r="AJ43" s="552">
        <v>130.99999999999994</v>
      </c>
      <c r="AK43" s="552">
        <v>8</v>
      </c>
      <c r="AL43" s="552">
        <v>9.0000000000000089</v>
      </c>
      <c r="AM43" s="552">
        <v>0</v>
      </c>
      <c r="AN43" s="552">
        <v>0</v>
      </c>
      <c r="AO43" s="552">
        <v>0</v>
      </c>
      <c r="AP43" s="552">
        <v>0</v>
      </c>
      <c r="AQ43" s="552">
        <v>0</v>
      </c>
      <c r="AR43" s="552">
        <v>0</v>
      </c>
      <c r="AS43" s="552">
        <v>0</v>
      </c>
      <c r="AT43" s="552">
        <v>118</v>
      </c>
      <c r="AU43" s="552">
        <v>0</v>
      </c>
      <c r="AV43" s="552">
        <v>126.33626356220796</v>
      </c>
      <c r="AW43" s="552">
        <v>0</v>
      </c>
      <c r="AX43" s="552">
        <v>0</v>
      </c>
      <c r="AY43" s="552">
        <v>0</v>
      </c>
      <c r="AZ43" s="552">
        <v>0</v>
      </c>
      <c r="BA43" s="552">
        <v>0</v>
      </c>
      <c r="BB43" s="552">
        <v>0</v>
      </c>
      <c r="BC43" s="552">
        <v>0</v>
      </c>
      <c r="BD43" s="552">
        <v>0</v>
      </c>
      <c r="BE43" s="552">
        <v>0.47199999999999998</v>
      </c>
      <c r="BF43" s="552">
        <v>0</v>
      </c>
      <c r="BG43" s="552">
        <v>0</v>
      </c>
      <c r="BH43" s="567">
        <v>0</v>
      </c>
      <c r="BI43" s="552">
        <v>0</v>
      </c>
      <c r="BJ43" s="552">
        <v>1</v>
      </c>
      <c r="BK43" s="552">
        <v>0</v>
      </c>
    </row>
    <row r="44" spans="1:63" ht="14.5" x14ac:dyDescent="0.35">
      <c r="A44" s="563">
        <v>144624</v>
      </c>
      <c r="B44" s="563">
        <v>8312018</v>
      </c>
      <c r="C44" s="564" t="s">
        <v>101</v>
      </c>
      <c r="D44" s="538" t="s">
        <v>267</v>
      </c>
      <c r="E44" s="565" t="s">
        <v>770</v>
      </c>
      <c r="F44" s="566">
        <v>1</v>
      </c>
      <c r="G44" s="552">
        <v>0</v>
      </c>
      <c r="H44" s="552">
        <v>0</v>
      </c>
      <c r="I44" s="552">
        <v>7</v>
      </c>
      <c r="J44" s="552">
        <v>0</v>
      </c>
      <c r="K44" s="552">
        <v>0</v>
      </c>
      <c r="L44" s="552">
        <v>0</v>
      </c>
      <c r="M44" s="552">
        <v>357</v>
      </c>
      <c r="N44" s="552">
        <v>357</v>
      </c>
      <c r="O44" s="552">
        <v>41</v>
      </c>
      <c r="P44" s="552">
        <v>316</v>
      </c>
      <c r="Q44" s="552">
        <v>0</v>
      </c>
      <c r="R44" s="552">
        <v>0</v>
      </c>
      <c r="S44" s="552">
        <v>0</v>
      </c>
      <c r="T44" s="552">
        <v>0</v>
      </c>
      <c r="U44" s="552">
        <v>0</v>
      </c>
      <c r="V44" s="552">
        <v>0</v>
      </c>
      <c r="W44" s="552">
        <v>0</v>
      </c>
      <c r="X44" s="552">
        <v>0</v>
      </c>
      <c r="Y44" s="552">
        <v>0</v>
      </c>
      <c r="Z44" s="552">
        <v>357</v>
      </c>
      <c r="AA44" s="552">
        <v>51</v>
      </c>
      <c r="AB44" s="552">
        <v>184.99999999999989</v>
      </c>
      <c r="AC44" s="552">
        <v>186.00000000000017</v>
      </c>
      <c r="AD44" s="552">
        <v>0</v>
      </c>
      <c r="AE44" s="552">
        <v>0</v>
      </c>
      <c r="AF44" s="552">
        <v>73.999999999999972</v>
      </c>
      <c r="AG44" s="552">
        <v>135.00000000000011</v>
      </c>
      <c r="AH44" s="552">
        <v>58.000000000000078</v>
      </c>
      <c r="AI44" s="552">
        <v>41.999999999999851</v>
      </c>
      <c r="AJ44" s="552">
        <v>7</v>
      </c>
      <c r="AK44" s="552">
        <v>16.999999999999993</v>
      </c>
      <c r="AL44" s="552">
        <v>23.999999999999993</v>
      </c>
      <c r="AM44" s="552">
        <v>0</v>
      </c>
      <c r="AN44" s="552">
        <v>0</v>
      </c>
      <c r="AO44" s="552">
        <v>0</v>
      </c>
      <c r="AP44" s="552">
        <v>0</v>
      </c>
      <c r="AQ44" s="552">
        <v>0</v>
      </c>
      <c r="AR44" s="552">
        <v>0</v>
      </c>
      <c r="AS44" s="552">
        <v>0</v>
      </c>
      <c r="AT44" s="552">
        <v>16.946202531645589</v>
      </c>
      <c r="AU44" s="552">
        <v>0</v>
      </c>
      <c r="AV44" s="552">
        <v>140.59830298013244</v>
      </c>
      <c r="AW44" s="552">
        <v>0</v>
      </c>
      <c r="AX44" s="552">
        <v>0</v>
      </c>
      <c r="AY44" s="552">
        <v>0</v>
      </c>
      <c r="AZ44" s="552">
        <v>0</v>
      </c>
      <c r="BA44" s="552">
        <v>0</v>
      </c>
      <c r="BB44" s="552">
        <v>0</v>
      </c>
      <c r="BC44" s="552">
        <v>14.580000000000082</v>
      </c>
      <c r="BD44" s="552">
        <v>0</v>
      </c>
      <c r="BE44" s="552">
        <v>0.67100000000000004</v>
      </c>
      <c r="BF44" s="552">
        <v>0</v>
      </c>
      <c r="BG44" s="552">
        <v>0</v>
      </c>
      <c r="BH44" s="567">
        <v>0</v>
      </c>
      <c r="BI44" s="552">
        <v>0</v>
      </c>
      <c r="BJ44" s="552">
        <v>1</v>
      </c>
      <c r="BK44" s="552">
        <v>0</v>
      </c>
    </row>
    <row r="45" spans="1:63" ht="14.5" x14ac:dyDescent="0.35">
      <c r="A45" s="563">
        <v>144822</v>
      </c>
      <c r="B45" s="563">
        <v>8312019</v>
      </c>
      <c r="C45" s="564" t="s">
        <v>102</v>
      </c>
      <c r="D45" s="538" t="s">
        <v>267</v>
      </c>
      <c r="E45" s="565" t="s">
        <v>770</v>
      </c>
      <c r="F45" s="566">
        <v>1</v>
      </c>
      <c r="G45" s="552">
        <v>0</v>
      </c>
      <c r="H45" s="552">
        <v>0</v>
      </c>
      <c r="I45" s="552">
        <v>4</v>
      </c>
      <c r="J45" s="552">
        <v>0</v>
      </c>
      <c r="K45" s="552">
        <v>0</v>
      </c>
      <c r="L45" s="552">
        <v>0</v>
      </c>
      <c r="M45" s="552">
        <v>301</v>
      </c>
      <c r="N45" s="552">
        <v>301</v>
      </c>
      <c r="O45" s="552">
        <v>0</v>
      </c>
      <c r="P45" s="552">
        <v>301</v>
      </c>
      <c r="Q45" s="552">
        <v>0</v>
      </c>
      <c r="R45" s="552">
        <v>0</v>
      </c>
      <c r="S45" s="552">
        <v>0</v>
      </c>
      <c r="T45" s="552">
        <v>0</v>
      </c>
      <c r="U45" s="552">
        <v>0</v>
      </c>
      <c r="V45" s="552">
        <v>0</v>
      </c>
      <c r="W45" s="552">
        <v>0</v>
      </c>
      <c r="X45" s="552">
        <v>0</v>
      </c>
      <c r="Y45" s="552">
        <v>0</v>
      </c>
      <c r="Z45" s="552">
        <v>301</v>
      </c>
      <c r="AA45" s="552">
        <v>75.25</v>
      </c>
      <c r="AB45" s="552">
        <v>104.00000000000001</v>
      </c>
      <c r="AC45" s="552">
        <v>105.99999999999994</v>
      </c>
      <c r="AD45" s="552">
        <v>0</v>
      </c>
      <c r="AE45" s="552">
        <v>0</v>
      </c>
      <c r="AF45" s="552">
        <v>177.00000000000011</v>
      </c>
      <c r="AG45" s="552">
        <v>68.999999999999972</v>
      </c>
      <c r="AH45" s="552">
        <v>35.000000000000043</v>
      </c>
      <c r="AI45" s="552">
        <v>4.0000000000000009</v>
      </c>
      <c r="AJ45" s="552">
        <v>0</v>
      </c>
      <c r="AK45" s="552">
        <v>8.9999999999999929</v>
      </c>
      <c r="AL45" s="552">
        <v>7.000000000000008</v>
      </c>
      <c r="AM45" s="552">
        <v>0</v>
      </c>
      <c r="AN45" s="552">
        <v>0</v>
      </c>
      <c r="AO45" s="552">
        <v>0</v>
      </c>
      <c r="AP45" s="552">
        <v>0</v>
      </c>
      <c r="AQ45" s="552">
        <v>0</v>
      </c>
      <c r="AR45" s="552">
        <v>0</v>
      </c>
      <c r="AS45" s="552">
        <v>0</v>
      </c>
      <c r="AT45" s="552">
        <v>11.000000000000009</v>
      </c>
      <c r="AU45" s="552">
        <v>0</v>
      </c>
      <c r="AV45" s="552">
        <v>87.888017710543409</v>
      </c>
      <c r="AW45" s="552">
        <v>0</v>
      </c>
      <c r="AX45" s="552">
        <v>0</v>
      </c>
      <c r="AY45" s="552">
        <v>0</v>
      </c>
      <c r="AZ45" s="552">
        <v>0</v>
      </c>
      <c r="BA45" s="552">
        <v>0</v>
      </c>
      <c r="BB45" s="552">
        <v>0</v>
      </c>
      <c r="BC45" s="552">
        <v>0</v>
      </c>
      <c r="BD45" s="552">
        <v>0</v>
      </c>
      <c r="BE45" s="552">
        <v>0.74099999999999999</v>
      </c>
      <c r="BF45" s="552">
        <v>0</v>
      </c>
      <c r="BG45" s="552">
        <v>0</v>
      </c>
      <c r="BH45" s="567">
        <v>0</v>
      </c>
      <c r="BI45" s="552">
        <v>0</v>
      </c>
      <c r="BJ45" s="552">
        <v>1</v>
      </c>
      <c r="BK45" s="552">
        <v>0</v>
      </c>
    </row>
    <row r="46" spans="1:63" ht="14.5" x14ac:dyDescent="0.35">
      <c r="A46" s="563">
        <v>145855</v>
      </c>
      <c r="B46" s="563">
        <v>8312020</v>
      </c>
      <c r="C46" s="564" t="s">
        <v>103</v>
      </c>
      <c r="D46" s="538" t="s">
        <v>267</v>
      </c>
      <c r="E46" s="565" t="s">
        <v>770</v>
      </c>
      <c r="F46" s="566">
        <v>1</v>
      </c>
      <c r="G46" s="552">
        <v>0</v>
      </c>
      <c r="H46" s="552">
        <v>0</v>
      </c>
      <c r="I46" s="552">
        <v>7</v>
      </c>
      <c r="J46" s="552">
        <v>0</v>
      </c>
      <c r="K46" s="552">
        <v>0</v>
      </c>
      <c r="L46" s="552">
        <v>0</v>
      </c>
      <c r="M46" s="552">
        <v>412</v>
      </c>
      <c r="N46" s="552">
        <v>412</v>
      </c>
      <c r="O46" s="552">
        <v>53</v>
      </c>
      <c r="P46" s="552">
        <v>359</v>
      </c>
      <c r="Q46" s="552">
        <v>0</v>
      </c>
      <c r="R46" s="552">
        <v>0</v>
      </c>
      <c r="S46" s="552">
        <v>0</v>
      </c>
      <c r="T46" s="552">
        <v>0</v>
      </c>
      <c r="U46" s="552">
        <v>0</v>
      </c>
      <c r="V46" s="552">
        <v>0</v>
      </c>
      <c r="W46" s="552">
        <v>0</v>
      </c>
      <c r="X46" s="552">
        <v>0</v>
      </c>
      <c r="Y46" s="552">
        <v>0</v>
      </c>
      <c r="Z46" s="552">
        <v>412</v>
      </c>
      <c r="AA46" s="552">
        <v>58.857142857142854</v>
      </c>
      <c r="AB46" s="552">
        <v>153.00000000000006</v>
      </c>
      <c r="AC46" s="552">
        <v>162.99999999999997</v>
      </c>
      <c r="AD46" s="552">
        <v>0</v>
      </c>
      <c r="AE46" s="552">
        <v>0</v>
      </c>
      <c r="AF46" s="552">
        <v>45.330073349633409</v>
      </c>
      <c r="AG46" s="552">
        <v>254.85574572127157</v>
      </c>
      <c r="AH46" s="552">
        <v>26.190709046454749</v>
      </c>
      <c r="AI46" s="552">
        <v>4.0293398533007343</v>
      </c>
      <c r="AJ46" s="552">
        <v>64.469437652811749</v>
      </c>
      <c r="AK46" s="552">
        <v>4.0293398533007343</v>
      </c>
      <c r="AL46" s="552">
        <v>13.095354523227375</v>
      </c>
      <c r="AM46" s="552">
        <v>0</v>
      </c>
      <c r="AN46" s="552">
        <v>0</v>
      </c>
      <c r="AO46" s="552">
        <v>0</v>
      </c>
      <c r="AP46" s="552">
        <v>0</v>
      </c>
      <c r="AQ46" s="552">
        <v>0</v>
      </c>
      <c r="AR46" s="552">
        <v>0</v>
      </c>
      <c r="AS46" s="552">
        <v>0</v>
      </c>
      <c r="AT46" s="552">
        <v>52.791086350974908</v>
      </c>
      <c r="AU46" s="552">
        <v>0</v>
      </c>
      <c r="AV46" s="552">
        <v>154.23895316804411</v>
      </c>
      <c r="AW46" s="552">
        <v>0</v>
      </c>
      <c r="AX46" s="552">
        <v>0</v>
      </c>
      <c r="AY46" s="552">
        <v>0</v>
      </c>
      <c r="AZ46" s="552">
        <v>0</v>
      </c>
      <c r="BA46" s="552">
        <v>0</v>
      </c>
      <c r="BB46" s="552">
        <v>0</v>
      </c>
      <c r="BC46" s="552">
        <v>24.279999999999813</v>
      </c>
      <c r="BD46" s="552">
        <v>0</v>
      </c>
      <c r="BE46" s="552">
        <v>0.76200000000000001</v>
      </c>
      <c r="BF46" s="552">
        <v>0</v>
      </c>
      <c r="BG46" s="552">
        <v>0</v>
      </c>
      <c r="BH46" s="567">
        <v>0</v>
      </c>
      <c r="BI46" s="552">
        <v>0</v>
      </c>
      <c r="BJ46" s="552">
        <v>1</v>
      </c>
      <c r="BK46" s="552">
        <v>0</v>
      </c>
    </row>
    <row r="47" spans="1:63" ht="14.5" x14ac:dyDescent="0.35">
      <c r="A47" s="563">
        <v>146079</v>
      </c>
      <c r="B47" s="563">
        <v>8312021</v>
      </c>
      <c r="C47" s="564" t="s">
        <v>104</v>
      </c>
      <c r="D47" s="538" t="s">
        <v>267</v>
      </c>
      <c r="E47" s="565" t="s">
        <v>770</v>
      </c>
      <c r="F47" s="566">
        <v>1</v>
      </c>
      <c r="G47" s="552">
        <v>0</v>
      </c>
      <c r="H47" s="552">
        <v>0</v>
      </c>
      <c r="I47" s="552">
        <v>7</v>
      </c>
      <c r="J47" s="552">
        <v>0</v>
      </c>
      <c r="K47" s="552">
        <v>0</v>
      </c>
      <c r="L47" s="552">
        <v>0</v>
      </c>
      <c r="M47" s="552">
        <v>594</v>
      </c>
      <c r="N47" s="552">
        <v>594</v>
      </c>
      <c r="O47" s="552">
        <v>73</v>
      </c>
      <c r="P47" s="552">
        <v>521</v>
      </c>
      <c r="Q47" s="552">
        <v>0</v>
      </c>
      <c r="R47" s="552">
        <v>0</v>
      </c>
      <c r="S47" s="552">
        <v>0</v>
      </c>
      <c r="T47" s="552">
        <v>0</v>
      </c>
      <c r="U47" s="552">
        <v>0</v>
      </c>
      <c r="V47" s="552">
        <v>0</v>
      </c>
      <c r="W47" s="552">
        <v>0</v>
      </c>
      <c r="X47" s="552">
        <v>0</v>
      </c>
      <c r="Y47" s="552">
        <v>0</v>
      </c>
      <c r="Z47" s="552">
        <v>594</v>
      </c>
      <c r="AA47" s="552">
        <v>84.857142857142861</v>
      </c>
      <c r="AB47" s="552">
        <v>390.99999999999983</v>
      </c>
      <c r="AC47" s="552">
        <v>392.00000000000006</v>
      </c>
      <c r="AD47" s="552">
        <v>0</v>
      </c>
      <c r="AE47" s="552">
        <v>0</v>
      </c>
      <c r="AF47" s="552">
        <v>19.032040472175364</v>
      </c>
      <c r="AG47" s="552">
        <v>15.02529510961217</v>
      </c>
      <c r="AH47" s="552">
        <v>31.052276559865064</v>
      </c>
      <c r="AI47" s="552">
        <v>28.047217537942654</v>
      </c>
      <c r="AJ47" s="552">
        <v>28.047217537942654</v>
      </c>
      <c r="AK47" s="552">
        <v>137.23102866779104</v>
      </c>
      <c r="AL47" s="552">
        <v>335.56492411467138</v>
      </c>
      <c r="AM47" s="552">
        <v>0</v>
      </c>
      <c r="AN47" s="552">
        <v>0</v>
      </c>
      <c r="AO47" s="552">
        <v>0</v>
      </c>
      <c r="AP47" s="552">
        <v>0</v>
      </c>
      <c r="AQ47" s="552">
        <v>0</v>
      </c>
      <c r="AR47" s="552">
        <v>0</v>
      </c>
      <c r="AS47" s="552">
        <v>0</v>
      </c>
      <c r="AT47" s="552">
        <v>133.39347408829155</v>
      </c>
      <c r="AU47" s="552">
        <v>0</v>
      </c>
      <c r="AV47" s="552">
        <v>220.75294320053092</v>
      </c>
      <c r="AW47" s="552">
        <v>0</v>
      </c>
      <c r="AX47" s="552">
        <v>0</v>
      </c>
      <c r="AY47" s="552">
        <v>0</v>
      </c>
      <c r="AZ47" s="552">
        <v>0</v>
      </c>
      <c r="BA47" s="552">
        <v>0</v>
      </c>
      <c r="BB47" s="552">
        <v>0</v>
      </c>
      <c r="BC47" s="552">
        <v>64.3599999999998</v>
      </c>
      <c r="BD47" s="552">
        <v>0</v>
      </c>
      <c r="BE47" s="552">
        <v>0.77800000000000002</v>
      </c>
      <c r="BF47" s="552">
        <v>0</v>
      </c>
      <c r="BG47" s="552">
        <v>0</v>
      </c>
      <c r="BH47" s="567">
        <v>0</v>
      </c>
      <c r="BI47" s="552">
        <v>0</v>
      </c>
      <c r="BJ47" s="552">
        <v>1</v>
      </c>
      <c r="BK47" s="552">
        <v>0</v>
      </c>
    </row>
    <row r="48" spans="1:63" ht="14.5" x14ac:dyDescent="0.35">
      <c r="A48" s="563">
        <v>146080</v>
      </c>
      <c r="B48" s="563">
        <v>8312022</v>
      </c>
      <c r="C48" s="564" t="s">
        <v>105</v>
      </c>
      <c r="D48" s="538" t="s">
        <v>267</v>
      </c>
      <c r="E48" s="565" t="s">
        <v>770</v>
      </c>
      <c r="F48" s="566">
        <v>1</v>
      </c>
      <c r="G48" s="552">
        <v>0</v>
      </c>
      <c r="H48" s="552">
        <v>0</v>
      </c>
      <c r="I48" s="552">
        <v>7</v>
      </c>
      <c r="J48" s="552">
        <v>0</v>
      </c>
      <c r="K48" s="552">
        <v>0</v>
      </c>
      <c r="L48" s="552">
        <v>0</v>
      </c>
      <c r="M48" s="552">
        <v>554</v>
      </c>
      <c r="N48" s="552">
        <v>554</v>
      </c>
      <c r="O48" s="552">
        <v>65</v>
      </c>
      <c r="P48" s="552">
        <v>489</v>
      </c>
      <c r="Q48" s="552">
        <v>0</v>
      </c>
      <c r="R48" s="552">
        <v>0</v>
      </c>
      <c r="S48" s="552">
        <v>0</v>
      </c>
      <c r="T48" s="552">
        <v>0</v>
      </c>
      <c r="U48" s="552">
        <v>0</v>
      </c>
      <c r="V48" s="552">
        <v>0</v>
      </c>
      <c r="W48" s="552">
        <v>0</v>
      </c>
      <c r="X48" s="552">
        <v>0</v>
      </c>
      <c r="Y48" s="552">
        <v>0</v>
      </c>
      <c r="Z48" s="552">
        <v>554</v>
      </c>
      <c r="AA48" s="552">
        <v>79.142857142857139</v>
      </c>
      <c r="AB48" s="552">
        <v>231.99999999999983</v>
      </c>
      <c r="AC48" s="552">
        <v>240.00000000000017</v>
      </c>
      <c r="AD48" s="552">
        <v>0</v>
      </c>
      <c r="AE48" s="552">
        <v>0</v>
      </c>
      <c r="AF48" s="552">
        <v>120.4347826086956</v>
      </c>
      <c r="AG48" s="552">
        <v>110.39855072463791</v>
      </c>
      <c r="AH48" s="552">
        <v>131.47463768115935</v>
      </c>
      <c r="AI48" s="552">
        <v>11.039855072463792</v>
      </c>
      <c r="AJ48" s="552">
        <v>89.322463768115938</v>
      </c>
      <c r="AK48" s="552">
        <v>65.235507246376926</v>
      </c>
      <c r="AL48" s="552">
        <v>26.094202898550712</v>
      </c>
      <c r="AM48" s="552">
        <v>0</v>
      </c>
      <c r="AN48" s="552">
        <v>0</v>
      </c>
      <c r="AO48" s="552">
        <v>0</v>
      </c>
      <c r="AP48" s="552">
        <v>0</v>
      </c>
      <c r="AQ48" s="552">
        <v>0</v>
      </c>
      <c r="AR48" s="552">
        <v>0</v>
      </c>
      <c r="AS48" s="552">
        <v>0</v>
      </c>
      <c r="AT48" s="552">
        <v>147.28016359918186</v>
      </c>
      <c r="AU48" s="552">
        <v>0</v>
      </c>
      <c r="AV48" s="552">
        <v>255.874244338946</v>
      </c>
      <c r="AW48" s="552">
        <v>0</v>
      </c>
      <c r="AX48" s="552">
        <v>0</v>
      </c>
      <c r="AY48" s="552">
        <v>0</v>
      </c>
      <c r="AZ48" s="552">
        <v>0</v>
      </c>
      <c r="BA48" s="552">
        <v>0</v>
      </c>
      <c r="BB48" s="552">
        <v>0</v>
      </c>
      <c r="BC48" s="552">
        <v>33.760000000000133</v>
      </c>
      <c r="BD48" s="552">
        <v>0</v>
      </c>
      <c r="BE48" s="552">
        <v>0.75800000000000001</v>
      </c>
      <c r="BF48" s="552">
        <v>0</v>
      </c>
      <c r="BG48" s="552">
        <v>0</v>
      </c>
      <c r="BH48" s="567">
        <v>0</v>
      </c>
      <c r="BI48" s="552">
        <v>0</v>
      </c>
      <c r="BJ48" s="552">
        <v>1</v>
      </c>
      <c r="BK48" s="552">
        <v>0</v>
      </c>
    </row>
    <row r="49" spans="1:63" ht="14.5" x14ac:dyDescent="0.35">
      <c r="A49" s="563">
        <v>145982</v>
      </c>
      <c r="B49" s="563">
        <v>8312023</v>
      </c>
      <c r="C49" s="564" t="s">
        <v>106</v>
      </c>
      <c r="D49" s="538" t="s">
        <v>267</v>
      </c>
      <c r="E49" s="565" t="s">
        <v>770</v>
      </c>
      <c r="F49" s="566">
        <v>1</v>
      </c>
      <c r="G49" s="552">
        <v>0</v>
      </c>
      <c r="H49" s="552">
        <v>0</v>
      </c>
      <c r="I49" s="552">
        <v>7</v>
      </c>
      <c r="J49" s="552">
        <v>0</v>
      </c>
      <c r="K49" s="552">
        <v>0</v>
      </c>
      <c r="L49" s="552">
        <v>0</v>
      </c>
      <c r="M49" s="552">
        <v>111</v>
      </c>
      <c r="N49" s="552">
        <v>111</v>
      </c>
      <c r="O49" s="552">
        <v>14</v>
      </c>
      <c r="P49" s="552">
        <v>97</v>
      </c>
      <c r="Q49" s="552">
        <v>0</v>
      </c>
      <c r="R49" s="552">
        <v>0</v>
      </c>
      <c r="S49" s="552">
        <v>0</v>
      </c>
      <c r="T49" s="552">
        <v>0</v>
      </c>
      <c r="U49" s="552">
        <v>0</v>
      </c>
      <c r="V49" s="552">
        <v>0</v>
      </c>
      <c r="W49" s="552">
        <v>0</v>
      </c>
      <c r="X49" s="552">
        <v>0</v>
      </c>
      <c r="Y49" s="552">
        <v>0</v>
      </c>
      <c r="Z49" s="552">
        <v>111</v>
      </c>
      <c r="AA49" s="552">
        <v>15.857142857142858</v>
      </c>
      <c r="AB49" s="552">
        <v>65.000000000000057</v>
      </c>
      <c r="AC49" s="552">
        <v>67.000000000000043</v>
      </c>
      <c r="AD49" s="552">
        <v>0</v>
      </c>
      <c r="AE49" s="552">
        <v>0</v>
      </c>
      <c r="AF49" s="552">
        <v>18.999999999999982</v>
      </c>
      <c r="AG49" s="552">
        <v>1.0000000000000002</v>
      </c>
      <c r="AH49" s="552">
        <v>3.999999999999996</v>
      </c>
      <c r="AI49" s="552">
        <v>6.0000000000000053</v>
      </c>
      <c r="AJ49" s="552">
        <v>3.999999999999996</v>
      </c>
      <c r="AK49" s="552">
        <v>74.000000000000028</v>
      </c>
      <c r="AL49" s="552">
        <v>2.9999999999999969</v>
      </c>
      <c r="AM49" s="552">
        <v>0</v>
      </c>
      <c r="AN49" s="552">
        <v>0</v>
      </c>
      <c r="AO49" s="552">
        <v>0</v>
      </c>
      <c r="AP49" s="552">
        <v>0</v>
      </c>
      <c r="AQ49" s="552">
        <v>0</v>
      </c>
      <c r="AR49" s="552">
        <v>0</v>
      </c>
      <c r="AS49" s="552">
        <v>0</v>
      </c>
      <c r="AT49" s="552">
        <v>40.051546391752552</v>
      </c>
      <c r="AU49" s="552">
        <v>0</v>
      </c>
      <c r="AV49" s="552">
        <v>43.750430292598942</v>
      </c>
      <c r="AW49" s="552">
        <v>0</v>
      </c>
      <c r="AX49" s="552">
        <v>0</v>
      </c>
      <c r="AY49" s="552">
        <v>0</v>
      </c>
      <c r="AZ49" s="552">
        <v>0</v>
      </c>
      <c r="BA49" s="552">
        <v>0</v>
      </c>
      <c r="BB49" s="552">
        <v>0</v>
      </c>
      <c r="BC49" s="552">
        <v>8.3399999999999856</v>
      </c>
      <c r="BD49" s="552">
        <v>0</v>
      </c>
      <c r="BE49" s="552">
        <v>0.69099999999999995</v>
      </c>
      <c r="BF49" s="552">
        <v>0</v>
      </c>
      <c r="BG49" s="552">
        <v>0.5180240320427234</v>
      </c>
      <c r="BH49" s="567">
        <v>0</v>
      </c>
      <c r="BI49" s="552">
        <v>0</v>
      </c>
      <c r="BJ49" s="552">
        <v>1</v>
      </c>
      <c r="BK49" s="552">
        <v>0</v>
      </c>
    </row>
    <row r="50" spans="1:63" ht="14.5" x14ac:dyDescent="0.35">
      <c r="A50" s="563">
        <v>147307</v>
      </c>
      <c r="B50" s="563">
        <v>8312024</v>
      </c>
      <c r="C50" s="564" t="s">
        <v>107</v>
      </c>
      <c r="D50" s="538" t="s">
        <v>267</v>
      </c>
      <c r="E50" s="565" t="s">
        <v>770</v>
      </c>
      <c r="F50" s="566">
        <v>1</v>
      </c>
      <c r="G50" s="552">
        <v>0</v>
      </c>
      <c r="H50" s="552">
        <v>0</v>
      </c>
      <c r="I50" s="552">
        <v>7</v>
      </c>
      <c r="J50" s="552">
        <v>0</v>
      </c>
      <c r="K50" s="552">
        <v>0</v>
      </c>
      <c r="L50" s="552">
        <v>0</v>
      </c>
      <c r="M50" s="552">
        <v>207</v>
      </c>
      <c r="N50" s="552">
        <v>207</v>
      </c>
      <c r="O50" s="552">
        <v>28</v>
      </c>
      <c r="P50" s="552">
        <v>179</v>
      </c>
      <c r="Q50" s="552">
        <v>0</v>
      </c>
      <c r="R50" s="552">
        <v>0</v>
      </c>
      <c r="S50" s="552">
        <v>0</v>
      </c>
      <c r="T50" s="552">
        <v>0</v>
      </c>
      <c r="U50" s="552">
        <v>0</v>
      </c>
      <c r="V50" s="552">
        <v>0</v>
      </c>
      <c r="W50" s="552">
        <v>0</v>
      </c>
      <c r="X50" s="552">
        <v>0</v>
      </c>
      <c r="Y50" s="552">
        <v>0</v>
      </c>
      <c r="Z50" s="552">
        <v>207</v>
      </c>
      <c r="AA50" s="552">
        <v>29.571428571428573</v>
      </c>
      <c r="AB50" s="552">
        <v>57.000000000000057</v>
      </c>
      <c r="AC50" s="552">
        <v>59.999999999999979</v>
      </c>
      <c r="AD50" s="552">
        <v>0</v>
      </c>
      <c r="AE50" s="552">
        <v>0</v>
      </c>
      <c r="AF50" s="552">
        <v>185.99999999999997</v>
      </c>
      <c r="AG50" s="552">
        <v>19.000000000000007</v>
      </c>
      <c r="AH50" s="552">
        <v>2</v>
      </c>
      <c r="AI50" s="552">
        <v>0</v>
      </c>
      <c r="AJ50" s="552">
        <v>0</v>
      </c>
      <c r="AK50" s="552">
        <v>0</v>
      </c>
      <c r="AL50" s="552">
        <v>0</v>
      </c>
      <c r="AM50" s="552">
        <v>0</v>
      </c>
      <c r="AN50" s="552">
        <v>0</v>
      </c>
      <c r="AO50" s="552">
        <v>0</v>
      </c>
      <c r="AP50" s="552">
        <v>0</v>
      </c>
      <c r="AQ50" s="552">
        <v>0</v>
      </c>
      <c r="AR50" s="552">
        <v>0</v>
      </c>
      <c r="AS50" s="552">
        <v>0</v>
      </c>
      <c r="AT50" s="552">
        <v>26.597765363128527</v>
      </c>
      <c r="AU50" s="552">
        <v>0</v>
      </c>
      <c r="AV50" s="552">
        <v>61.544415584415631</v>
      </c>
      <c r="AW50" s="552">
        <v>0</v>
      </c>
      <c r="AX50" s="552">
        <v>0</v>
      </c>
      <c r="AY50" s="552">
        <v>0</v>
      </c>
      <c r="AZ50" s="552">
        <v>0</v>
      </c>
      <c r="BA50" s="552">
        <v>0</v>
      </c>
      <c r="BB50" s="552">
        <v>0</v>
      </c>
      <c r="BC50" s="552">
        <v>3.5800000000000085</v>
      </c>
      <c r="BD50" s="552">
        <v>0</v>
      </c>
      <c r="BE50" s="552">
        <v>1.2150000000000001</v>
      </c>
      <c r="BF50" s="552">
        <v>0</v>
      </c>
      <c r="BG50" s="552">
        <v>0</v>
      </c>
      <c r="BH50" s="567">
        <v>0</v>
      </c>
      <c r="BI50" s="552">
        <v>0</v>
      </c>
      <c r="BJ50" s="552">
        <v>1</v>
      </c>
      <c r="BK50" s="552">
        <v>0</v>
      </c>
    </row>
    <row r="51" spans="1:63" ht="14.5" x14ac:dyDescent="0.35">
      <c r="A51" s="563">
        <v>147725</v>
      </c>
      <c r="B51" s="563">
        <v>8312025</v>
      </c>
      <c r="C51" s="564" t="s">
        <v>108</v>
      </c>
      <c r="D51" s="538" t="s">
        <v>267</v>
      </c>
      <c r="E51" s="565" t="s">
        <v>770</v>
      </c>
      <c r="F51" s="566">
        <v>1</v>
      </c>
      <c r="G51" s="552">
        <v>0</v>
      </c>
      <c r="H51" s="552">
        <v>0</v>
      </c>
      <c r="I51" s="552">
        <v>4</v>
      </c>
      <c r="J51" s="552">
        <v>0</v>
      </c>
      <c r="K51" s="552">
        <v>0</v>
      </c>
      <c r="L51" s="552">
        <v>0</v>
      </c>
      <c r="M51" s="552">
        <v>254</v>
      </c>
      <c r="N51" s="552">
        <v>254</v>
      </c>
      <c r="O51" s="552">
        <v>0</v>
      </c>
      <c r="P51" s="552">
        <v>254</v>
      </c>
      <c r="Q51" s="552">
        <v>0</v>
      </c>
      <c r="R51" s="552">
        <v>0</v>
      </c>
      <c r="S51" s="552">
        <v>0</v>
      </c>
      <c r="T51" s="552">
        <v>0</v>
      </c>
      <c r="U51" s="552">
        <v>0</v>
      </c>
      <c r="V51" s="552">
        <v>0</v>
      </c>
      <c r="W51" s="552">
        <v>0</v>
      </c>
      <c r="X51" s="552">
        <v>0</v>
      </c>
      <c r="Y51" s="552">
        <v>0</v>
      </c>
      <c r="Z51" s="552">
        <v>254</v>
      </c>
      <c r="AA51" s="552">
        <v>63.5</v>
      </c>
      <c r="AB51" s="552">
        <v>72.000000000000043</v>
      </c>
      <c r="AC51" s="552">
        <v>74.999999999999986</v>
      </c>
      <c r="AD51" s="552">
        <v>0</v>
      </c>
      <c r="AE51" s="552">
        <v>0</v>
      </c>
      <c r="AF51" s="552">
        <v>191.00000000000003</v>
      </c>
      <c r="AG51" s="552">
        <v>18.000000000000011</v>
      </c>
      <c r="AH51" s="552">
        <v>18.000000000000011</v>
      </c>
      <c r="AI51" s="552">
        <v>12.000000000000005</v>
      </c>
      <c r="AJ51" s="552">
        <v>8.0000000000000036</v>
      </c>
      <c r="AK51" s="552">
        <v>4.9999999999999902</v>
      </c>
      <c r="AL51" s="552">
        <v>2.0000000000000009</v>
      </c>
      <c r="AM51" s="552">
        <v>0</v>
      </c>
      <c r="AN51" s="552">
        <v>0</v>
      </c>
      <c r="AO51" s="552">
        <v>0</v>
      </c>
      <c r="AP51" s="552">
        <v>0</v>
      </c>
      <c r="AQ51" s="552">
        <v>0</v>
      </c>
      <c r="AR51" s="552">
        <v>0</v>
      </c>
      <c r="AS51" s="552">
        <v>0</v>
      </c>
      <c r="AT51" s="552">
        <v>68.000000000000028</v>
      </c>
      <c r="AU51" s="552">
        <v>0</v>
      </c>
      <c r="AV51" s="552">
        <v>90.185479597244324</v>
      </c>
      <c r="AW51" s="552">
        <v>0</v>
      </c>
      <c r="AX51" s="552">
        <v>0</v>
      </c>
      <c r="AY51" s="552">
        <v>0</v>
      </c>
      <c r="AZ51" s="552">
        <v>0</v>
      </c>
      <c r="BA51" s="552">
        <v>0</v>
      </c>
      <c r="BB51" s="552">
        <v>0</v>
      </c>
      <c r="BC51" s="552">
        <v>17.760000000000083</v>
      </c>
      <c r="BD51" s="552">
        <v>0</v>
      </c>
      <c r="BE51" s="552">
        <v>0.82499999999999996</v>
      </c>
      <c r="BF51" s="552">
        <v>0</v>
      </c>
      <c r="BG51" s="552">
        <v>0</v>
      </c>
      <c r="BH51" s="567">
        <v>0</v>
      </c>
      <c r="BI51" s="552">
        <v>0</v>
      </c>
      <c r="BJ51" s="552">
        <v>1</v>
      </c>
      <c r="BK51" s="552">
        <v>0</v>
      </c>
    </row>
    <row r="52" spans="1:63" ht="14.5" x14ac:dyDescent="0.35">
      <c r="A52" s="563">
        <v>148384</v>
      </c>
      <c r="B52" s="563">
        <v>8312026</v>
      </c>
      <c r="C52" s="564" t="s">
        <v>109</v>
      </c>
      <c r="D52" s="538" t="s">
        <v>267</v>
      </c>
      <c r="E52" s="565" t="s">
        <v>770</v>
      </c>
      <c r="F52" s="566">
        <v>1</v>
      </c>
      <c r="G52" s="552">
        <v>0</v>
      </c>
      <c r="H52" s="552">
        <v>0</v>
      </c>
      <c r="I52" s="552">
        <v>7</v>
      </c>
      <c r="J52" s="552">
        <v>0</v>
      </c>
      <c r="K52" s="552">
        <v>0</v>
      </c>
      <c r="L52" s="552">
        <v>0</v>
      </c>
      <c r="M52" s="552">
        <v>451</v>
      </c>
      <c r="N52" s="552">
        <v>451</v>
      </c>
      <c r="O52" s="552">
        <v>55</v>
      </c>
      <c r="P52" s="552">
        <v>396</v>
      </c>
      <c r="Q52" s="552">
        <v>0</v>
      </c>
      <c r="R52" s="552">
        <v>0</v>
      </c>
      <c r="S52" s="552">
        <v>0</v>
      </c>
      <c r="T52" s="552">
        <v>0</v>
      </c>
      <c r="U52" s="552">
        <v>0</v>
      </c>
      <c r="V52" s="552">
        <v>0</v>
      </c>
      <c r="W52" s="552">
        <v>0</v>
      </c>
      <c r="X52" s="552">
        <v>0</v>
      </c>
      <c r="Y52" s="552">
        <v>0</v>
      </c>
      <c r="Z52" s="552">
        <v>451</v>
      </c>
      <c r="AA52" s="552">
        <v>64.428571428571431</v>
      </c>
      <c r="AB52" s="552">
        <v>161.99999999999991</v>
      </c>
      <c r="AC52" s="552">
        <v>171.00000000000011</v>
      </c>
      <c r="AD52" s="552">
        <v>0</v>
      </c>
      <c r="AE52" s="552">
        <v>0</v>
      </c>
      <c r="AF52" s="552">
        <v>52.000000000000028</v>
      </c>
      <c r="AG52" s="552">
        <v>245.99999999999977</v>
      </c>
      <c r="AH52" s="552">
        <v>36.000000000000014</v>
      </c>
      <c r="AI52" s="552">
        <v>3.0000000000000009</v>
      </c>
      <c r="AJ52" s="552">
        <v>52.000000000000028</v>
      </c>
      <c r="AK52" s="552">
        <v>10.000000000000002</v>
      </c>
      <c r="AL52" s="552">
        <v>52.000000000000028</v>
      </c>
      <c r="AM52" s="552">
        <v>0</v>
      </c>
      <c r="AN52" s="552">
        <v>0</v>
      </c>
      <c r="AO52" s="552">
        <v>0</v>
      </c>
      <c r="AP52" s="552">
        <v>0</v>
      </c>
      <c r="AQ52" s="552">
        <v>0</v>
      </c>
      <c r="AR52" s="552">
        <v>0</v>
      </c>
      <c r="AS52" s="552">
        <v>0</v>
      </c>
      <c r="AT52" s="552">
        <v>91.341772151898624</v>
      </c>
      <c r="AU52" s="552">
        <v>0</v>
      </c>
      <c r="AV52" s="552">
        <v>205.21693121693116</v>
      </c>
      <c r="AW52" s="552">
        <v>0</v>
      </c>
      <c r="AX52" s="552">
        <v>0</v>
      </c>
      <c r="AY52" s="552">
        <v>0</v>
      </c>
      <c r="AZ52" s="552">
        <v>0</v>
      </c>
      <c r="BA52" s="552">
        <v>0</v>
      </c>
      <c r="BB52" s="552">
        <v>0</v>
      </c>
      <c r="BC52" s="552">
        <v>6.9399999999999968</v>
      </c>
      <c r="BD52" s="552">
        <v>0</v>
      </c>
      <c r="BE52" s="552">
        <v>0.80300000000000005</v>
      </c>
      <c r="BF52" s="552">
        <v>0</v>
      </c>
      <c r="BG52" s="552">
        <v>0</v>
      </c>
      <c r="BH52" s="567">
        <v>0</v>
      </c>
      <c r="BI52" s="552">
        <v>0</v>
      </c>
      <c r="BJ52" s="552">
        <v>1</v>
      </c>
      <c r="BK52" s="552">
        <v>0</v>
      </c>
    </row>
    <row r="53" spans="1:63" ht="14.5" x14ac:dyDescent="0.35">
      <c r="A53" s="563">
        <v>148585</v>
      </c>
      <c r="B53" s="563">
        <v>8312027</v>
      </c>
      <c r="C53" s="564" t="s">
        <v>110</v>
      </c>
      <c r="D53" s="538" t="s">
        <v>267</v>
      </c>
      <c r="E53" s="565" t="s">
        <v>770</v>
      </c>
      <c r="F53" s="566">
        <v>1</v>
      </c>
      <c r="G53" s="552">
        <v>0</v>
      </c>
      <c r="H53" s="552">
        <v>0</v>
      </c>
      <c r="I53" s="552">
        <v>4</v>
      </c>
      <c r="J53" s="552">
        <v>0</v>
      </c>
      <c r="K53" s="552">
        <v>0</v>
      </c>
      <c r="L53" s="552">
        <v>0</v>
      </c>
      <c r="M53" s="552">
        <v>136.5</v>
      </c>
      <c r="N53" s="552">
        <v>136.5</v>
      </c>
      <c r="O53" s="552">
        <v>30</v>
      </c>
      <c r="P53" s="552">
        <v>106.5</v>
      </c>
      <c r="Q53" s="552">
        <v>0</v>
      </c>
      <c r="R53" s="552">
        <v>0</v>
      </c>
      <c r="S53" s="552">
        <v>0</v>
      </c>
      <c r="T53" s="552">
        <v>0</v>
      </c>
      <c r="U53" s="552">
        <v>0</v>
      </c>
      <c r="V53" s="552">
        <v>0</v>
      </c>
      <c r="W53" s="552">
        <v>0</v>
      </c>
      <c r="X53" s="552">
        <v>0</v>
      </c>
      <c r="Y53" s="552">
        <v>0</v>
      </c>
      <c r="Z53" s="552">
        <v>136.5</v>
      </c>
      <c r="AA53" s="552">
        <v>34.125</v>
      </c>
      <c r="AB53" s="552">
        <v>28.67647058823524</v>
      </c>
      <c r="AC53" s="552">
        <v>28.67647058823524</v>
      </c>
      <c r="AD53" s="552">
        <v>0</v>
      </c>
      <c r="AE53" s="552">
        <v>0</v>
      </c>
      <c r="AF53" s="552">
        <v>2.3135593220339006</v>
      </c>
      <c r="AG53" s="552">
        <v>3.4703389830508442</v>
      </c>
      <c r="AH53" s="552">
        <v>94.855932203389798</v>
      </c>
      <c r="AI53" s="552">
        <v>2.3135593220339006</v>
      </c>
      <c r="AJ53" s="552">
        <v>17.351694915254289</v>
      </c>
      <c r="AK53" s="552">
        <v>1.1567796610169492</v>
      </c>
      <c r="AL53" s="552">
        <v>15.038135593220376</v>
      </c>
      <c r="AM53" s="552">
        <v>0</v>
      </c>
      <c r="AN53" s="552">
        <v>0</v>
      </c>
      <c r="AO53" s="552">
        <v>0</v>
      </c>
      <c r="AP53" s="552">
        <v>0</v>
      </c>
      <c r="AQ53" s="552">
        <v>0</v>
      </c>
      <c r="AR53" s="552">
        <v>0</v>
      </c>
      <c r="AS53" s="552">
        <v>0</v>
      </c>
      <c r="AT53" s="552">
        <v>98.157303370786579</v>
      </c>
      <c r="AU53" s="552">
        <v>0</v>
      </c>
      <c r="AV53" s="552">
        <v>85.601694915254242</v>
      </c>
      <c r="AW53" s="552">
        <v>0</v>
      </c>
      <c r="AX53" s="552">
        <v>0</v>
      </c>
      <c r="AY53" s="552">
        <v>0</v>
      </c>
      <c r="AZ53" s="552">
        <v>0</v>
      </c>
      <c r="BA53" s="552">
        <v>0</v>
      </c>
      <c r="BB53" s="552">
        <v>0</v>
      </c>
      <c r="BC53" s="552">
        <v>13.788813559321984</v>
      </c>
      <c r="BD53" s="552">
        <v>0</v>
      </c>
      <c r="BE53" s="552">
        <v>0.64500000000000002</v>
      </c>
      <c r="BF53" s="552">
        <v>0</v>
      </c>
      <c r="BG53" s="552">
        <v>0</v>
      </c>
      <c r="BH53" s="567">
        <v>0</v>
      </c>
      <c r="BI53" s="552">
        <v>0</v>
      </c>
      <c r="BJ53" s="552">
        <v>1</v>
      </c>
      <c r="BK53" s="552">
        <v>0</v>
      </c>
    </row>
    <row r="54" spans="1:63" ht="14.5" x14ac:dyDescent="0.35">
      <c r="A54" s="563">
        <v>149747</v>
      </c>
      <c r="B54" s="563">
        <v>8312028</v>
      </c>
      <c r="C54" s="564" t="s">
        <v>152</v>
      </c>
      <c r="D54" s="538" t="s">
        <v>267</v>
      </c>
      <c r="E54" s="565" t="s">
        <v>770</v>
      </c>
      <c r="F54" s="566">
        <v>1</v>
      </c>
      <c r="G54" s="552">
        <v>0</v>
      </c>
      <c r="H54" s="552">
        <v>0</v>
      </c>
      <c r="I54" s="552">
        <v>2</v>
      </c>
      <c r="J54" s="552">
        <v>0</v>
      </c>
      <c r="K54" s="552">
        <v>0</v>
      </c>
      <c r="L54" s="552">
        <v>0</v>
      </c>
      <c r="M54" s="552">
        <v>116.25</v>
      </c>
      <c r="N54" s="552">
        <v>116.25</v>
      </c>
      <c r="O54" s="552">
        <v>45</v>
      </c>
      <c r="P54" s="552">
        <v>71.25</v>
      </c>
      <c r="Q54" s="552">
        <v>0</v>
      </c>
      <c r="R54" s="552">
        <v>0</v>
      </c>
      <c r="S54" s="552">
        <v>0</v>
      </c>
      <c r="T54" s="552">
        <v>0</v>
      </c>
      <c r="U54" s="552">
        <v>0</v>
      </c>
      <c r="V54" s="552">
        <v>0</v>
      </c>
      <c r="W54" s="552">
        <v>0</v>
      </c>
      <c r="X54" s="552">
        <v>0</v>
      </c>
      <c r="Y54" s="552">
        <v>0</v>
      </c>
      <c r="Z54" s="552">
        <v>116.25</v>
      </c>
      <c r="AA54" s="552">
        <v>58.125</v>
      </c>
      <c r="AB54" s="552">
        <v>10.10869565217391</v>
      </c>
      <c r="AC54" s="552">
        <v>12.635869565217385</v>
      </c>
      <c r="AD54" s="552">
        <v>0</v>
      </c>
      <c r="AE54" s="552">
        <v>0</v>
      </c>
      <c r="AF54" s="552">
        <v>80.083333333333343</v>
      </c>
      <c r="AG54" s="552">
        <v>18.083333333333385</v>
      </c>
      <c r="AH54" s="552">
        <v>7.7500000000000036</v>
      </c>
      <c r="AI54" s="552">
        <v>0</v>
      </c>
      <c r="AJ54" s="552">
        <v>5.1666666666666616</v>
      </c>
      <c r="AK54" s="552">
        <v>0</v>
      </c>
      <c r="AL54" s="552">
        <v>5.1666666666666616</v>
      </c>
      <c r="AM54" s="552">
        <v>0</v>
      </c>
      <c r="AN54" s="552">
        <v>0</v>
      </c>
      <c r="AO54" s="552">
        <v>0</v>
      </c>
      <c r="AP54" s="552">
        <v>0</v>
      </c>
      <c r="AQ54" s="552">
        <v>0</v>
      </c>
      <c r="AR54" s="552">
        <v>0</v>
      </c>
      <c r="AS54" s="552">
        <v>0</v>
      </c>
      <c r="AT54" s="552">
        <v>12.916666666666654</v>
      </c>
      <c r="AU54" s="552">
        <v>0</v>
      </c>
      <c r="AV54" s="552">
        <v>58.125</v>
      </c>
      <c r="AW54" s="552">
        <v>0</v>
      </c>
      <c r="AX54" s="552">
        <v>0</v>
      </c>
      <c r="AY54" s="552">
        <v>0</v>
      </c>
      <c r="AZ54" s="552">
        <v>0</v>
      </c>
      <c r="BA54" s="552">
        <v>0</v>
      </c>
      <c r="BB54" s="552">
        <v>0</v>
      </c>
      <c r="BC54" s="552">
        <v>0</v>
      </c>
      <c r="BD54" s="552">
        <v>0</v>
      </c>
      <c r="BE54" s="552">
        <v>0.55700000000000005</v>
      </c>
      <c r="BF54" s="552">
        <v>0</v>
      </c>
      <c r="BG54" s="552">
        <v>0</v>
      </c>
      <c r="BH54" s="567">
        <v>0</v>
      </c>
      <c r="BI54" s="552">
        <v>0</v>
      </c>
      <c r="BJ54" s="552">
        <v>1</v>
      </c>
      <c r="BK54" s="552">
        <v>0</v>
      </c>
    </row>
    <row r="55" spans="1:63" ht="14.5" x14ac:dyDescent="0.35">
      <c r="A55" s="563">
        <v>150481</v>
      </c>
      <c r="B55" s="563">
        <v>8312029</v>
      </c>
      <c r="C55" s="564" t="s">
        <v>98</v>
      </c>
      <c r="D55" s="538" t="s">
        <v>267</v>
      </c>
      <c r="E55" s="565" t="s">
        <v>770</v>
      </c>
      <c r="F55" s="566">
        <v>1</v>
      </c>
      <c r="G55" s="552">
        <v>0</v>
      </c>
      <c r="H55" s="552">
        <v>0</v>
      </c>
      <c r="I55" s="552">
        <v>7</v>
      </c>
      <c r="J55" s="552">
        <v>0</v>
      </c>
      <c r="K55" s="552">
        <v>0</v>
      </c>
      <c r="L55" s="552">
        <v>0</v>
      </c>
      <c r="M55" s="552">
        <v>208</v>
      </c>
      <c r="N55" s="552">
        <v>208</v>
      </c>
      <c r="O55" s="552">
        <v>21</v>
      </c>
      <c r="P55" s="552">
        <v>187</v>
      </c>
      <c r="Q55" s="552">
        <v>0</v>
      </c>
      <c r="R55" s="552">
        <v>0</v>
      </c>
      <c r="S55" s="552">
        <v>0</v>
      </c>
      <c r="T55" s="552">
        <v>0</v>
      </c>
      <c r="U55" s="552">
        <v>0</v>
      </c>
      <c r="V55" s="552">
        <v>0</v>
      </c>
      <c r="W55" s="552">
        <v>0</v>
      </c>
      <c r="X55" s="552">
        <v>0</v>
      </c>
      <c r="Y55" s="552">
        <v>0</v>
      </c>
      <c r="Z55" s="552">
        <v>208</v>
      </c>
      <c r="AA55" s="552">
        <v>29.714285714285715</v>
      </c>
      <c r="AB55" s="552">
        <v>65</v>
      </c>
      <c r="AC55" s="552">
        <v>67.000000000000085</v>
      </c>
      <c r="AD55" s="552">
        <v>0</v>
      </c>
      <c r="AE55" s="552">
        <v>0</v>
      </c>
      <c r="AF55" s="552">
        <v>78.999999999999943</v>
      </c>
      <c r="AG55" s="552">
        <v>2.0000000000000009</v>
      </c>
      <c r="AH55" s="552">
        <v>25.000000000000064</v>
      </c>
      <c r="AI55" s="552">
        <v>42.000000000000021</v>
      </c>
      <c r="AJ55" s="552">
        <v>20.000000000000011</v>
      </c>
      <c r="AK55" s="552">
        <v>38.000000000000064</v>
      </c>
      <c r="AL55" s="552">
        <v>2.0000000000000009</v>
      </c>
      <c r="AM55" s="552">
        <v>0</v>
      </c>
      <c r="AN55" s="552">
        <v>0</v>
      </c>
      <c r="AO55" s="552">
        <v>0</v>
      </c>
      <c r="AP55" s="552">
        <v>0</v>
      </c>
      <c r="AQ55" s="552">
        <v>0</v>
      </c>
      <c r="AR55" s="552">
        <v>0</v>
      </c>
      <c r="AS55" s="552">
        <v>0</v>
      </c>
      <c r="AT55" s="552">
        <v>105.66844919786107</v>
      </c>
      <c r="AU55" s="552">
        <v>0</v>
      </c>
      <c r="AV55" s="552">
        <v>90.69258179462264</v>
      </c>
      <c r="AW55" s="552">
        <v>0</v>
      </c>
      <c r="AX55" s="552">
        <v>0</v>
      </c>
      <c r="AY55" s="552">
        <v>0</v>
      </c>
      <c r="AZ55" s="552">
        <v>0</v>
      </c>
      <c r="BA55" s="552">
        <v>0</v>
      </c>
      <c r="BB55" s="552">
        <v>0</v>
      </c>
      <c r="BC55" s="552">
        <v>23.519999999999982</v>
      </c>
      <c r="BD55" s="552">
        <v>0</v>
      </c>
      <c r="BE55" s="552">
        <v>0.65400000000000003</v>
      </c>
      <c r="BF55" s="552">
        <v>0</v>
      </c>
      <c r="BG55" s="552">
        <v>0</v>
      </c>
      <c r="BH55" s="567">
        <v>0</v>
      </c>
      <c r="BI55" s="552">
        <v>0</v>
      </c>
      <c r="BJ55" s="552">
        <v>1</v>
      </c>
      <c r="BK55" s="552">
        <v>0</v>
      </c>
    </row>
    <row r="56" spans="1:63" ht="14.5" x14ac:dyDescent="0.35">
      <c r="A56" s="563">
        <v>146879</v>
      </c>
      <c r="B56" s="563">
        <v>8312440</v>
      </c>
      <c r="C56" s="564" t="s">
        <v>111</v>
      </c>
      <c r="D56" s="538" t="s">
        <v>267</v>
      </c>
      <c r="E56" s="565" t="s">
        <v>770</v>
      </c>
      <c r="F56" s="566">
        <v>1</v>
      </c>
      <c r="G56" s="552">
        <v>0</v>
      </c>
      <c r="H56" s="552">
        <v>0</v>
      </c>
      <c r="I56" s="552">
        <v>4</v>
      </c>
      <c r="J56" s="552">
        <v>0</v>
      </c>
      <c r="K56" s="552">
        <v>0</v>
      </c>
      <c r="L56" s="552">
        <v>0</v>
      </c>
      <c r="M56" s="552">
        <v>322</v>
      </c>
      <c r="N56" s="552">
        <v>322</v>
      </c>
      <c r="O56" s="552">
        <v>0</v>
      </c>
      <c r="P56" s="552">
        <v>322</v>
      </c>
      <c r="Q56" s="552">
        <v>0</v>
      </c>
      <c r="R56" s="552">
        <v>0</v>
      </c>
      <c r="S56" s="552">
        <v>0</v>
      </c>
      <c r="T56" s="552">
        <v>0</v>
      </c>
      <c r="U56" s="552">
        <v>0</v>
      </c>
      <c r="V56" s="552">
        <v>0</v>
      </c>
      <c r="W56" s="552">
        <v>0</v>
      </c>
      <c r="X56" s="552">
        <v>0</v>
      </c>
      <c r="Y56" s="552">
        <v>0</v>
      </c>
      <c r="Z56" s="552">
        <v>322</v>
      </c>
      <c r="AA56" s="552">
        <v>80.5</v>
      </c>
      <c r="AB56" s="552">
        <v>57.999999999999851</v>
      </c>
      <c r="AC56" s="552">
        <v>57.999999999999851</v>
      </c>
      <c r="AD56" s="552">
        <v>0</v>
      </c>
      <c r="AE56" s="552">
        <v>0</v>
      </c>
      <c r="AF56" s="552">
        <v>259.99999999999989</v>
      </c>
      <c r="AG56" s="552">
        <v>24.999999999999989</v>
      </c>
      <c r="AH56" s="552">
        <v>17.999999999999993</v>
      </c>
      <c r="AI56" s="552">
        <v>3.9999999999999987</v>
      </c>
      <c r="AJ56" s="552">
        <v>9.9999999999999964</v>
      </c>
      <c r="AK56" s="552">
        <v>2.9999999999999991</v>
      </c>
      <c r="AL56" s="552">
        <v>1.9999999999999993</v>
      </c>
      <c r="AM56" s="552">
        <v>0</v>
      </c>
      <c r="AN56" s="552">
        <v>0</v>
      </c>
      <c r="AO56" s="552">
        <v>0</v>
      </c>
      <c r="AP56" s="552">
        <v>0</v>
      </c>
      <c r="AQ56" s="552">
        <v>0</v>
      </c>
      <c r="AR56" s="552">
        <v>0</v>
      </c>
      <c r="AS56" s="552">
        <v>0</v>
      </c>
      <c r="AT56" s="552">
        <v>20.062305295950168</v>
      </c>
      <c r="AU56" s="552">
        <v>0</v>
      </c>
      <c r="AV56" s="552">
        <v>84.46742629255084</v>
      </c>
      <c r="AW56" s="552">
        <v>0</v>
      </c>
      <c r="AX56" s="552">
        <v>0</v>
      </c>
      <c r="AY56" s="552">
        <v>0</v>
      </c>
      <c r="AZ56" s="552">
        <v>0</v>
      </c>
      <c r="BA56" s="552">
        <v>0</v>
      </c>
      <c r="BB56" s="552">
        <v>0</v>
      </c>
      <c r="BC56" s="552">
        <v>1.6799999999999913</v>
      </c>
      <c r="BD56" s="552">
        <v>0</v>
      </c>
      <c r="BE56" s="552">
        <v>1.0369999999999999</v>
      </c>
      <c r="BF56" s="552">
        <v>0</v>
      </c>
      <c r="BG56" s="552">
        <v>0</v>
      </c>
      <c r="BH56" s="567">
        <v>0</v>
      </c>
      <c r="BI56" s="552">
        <v>0</v>
      </c>
      <c r="BJ56" s="552">
        <v>1</v>
      </c>
      <c r="BK56" s="552">
        <v>0</v>
      </c>
    </row>
    <row r="57" spans="1:63" ht="14.5" x14ac:dyDescent="0.35">
      <c r="A57" s="563">
        <v>145759</v>
      </c>
      <c r="B57" s="563">
        <v>8312442</v>
      </c>
      <c r="C57" s="564" t="s">
        <v>112</v>
      </c>
      <c r="D57" s="538" t="s">
        <v>267</v>
      </c>
      <c r="E57" s="565" t="s">
        <v>770</v>
      </c>
      <c r="F57" s="566">
        <v>1</v>
      </c>
      <c r="G57" s="552">
        <v>0</v>
      </c>
      <c r="H57" s="552">
        <v>0</v>
      </c>
      <c r="I57" s="552">
        <v>4</v>
      </c>
      <c r="J57" s="552">
        <v>0</v>
      </c>
      <c r="K57" s="552">
        <v>0</v>
      </c>
      <c r="L57" s="552">
        <v>0</v>
      </c>
      <c r="M57" s="552">
        <v>337</v>
      </c>
      <c r="N57" s="552">
        <v>337</v>
      </c>
      <c r="O57" s="552">
        <v>0</v>
      </c>
      <c r="P57" s="552">
        <v>337</v>
      </c>
      <c r="Q57" s="552">
        <v>0</v>
      </c>
      <c r="R57" s="552">
        <v>0</v>
      </c>
      <c r="S57" s="552">
        <v>0</v>
      </c>
      <c r="T57" s="552">
        <v>0</v>
      </c>
      <c r="U57" s="552">
        <v>0</v>
      </c>
      <c r="V57" s="552">
        <v>0</v>
      </c>
      <c r="W57" s="552">
        <v>0</v>
      </c>
      <c r="X57" s="552">
        <v>0</v>
      </c>
      <c r="Y57" s="552">
        <v>0</v>
      </c>
      <c r="Z57" s="552">
        <v>337</v>
      </c>
      <c r="AA57" s="552">
        <v>84.25</v>
      </c>
      <c r="AB57" s="552">
        <v>136.99999999999991</v>
      </c>
      <c r="AC57" s="552">
        <v>143.00000000000006</v>
      </c>
      <c r="AD57" s="552">
        <v>0</v>
      </c>
      <c r="AE57" s="552">
        <v>0</v>
      </c>
      <c r="AF57" s="552">
        <v>117.99999999999991</v>
      </c>
      <c r="AG57" s="552">
        <v>44.000000000000142</v>
      </c>
      <c r="AH57" s="552">
        <v>67.999999999999986</v>
      </c>
      <c r="AI57" s="552">
        <v>0</v>
      </c>
      <c r="AJ57" s="552">
        <v>52.999999999999829</v>
      </c>
      <c r="AK57" s="552">
        <v>25.000000000000004</v>
      </c>
      <c r="AL57" s="552">
        <v>28.999999999999996</v>
      </c>
      <c r="AM57" s="552">
        <v>0</v>
      </c>
      <c r="AN57" s="552">
        <v>0</v>
      </c>
      <c r="AO57" s="552">
        <v>0</v>
      </c>
      <c r="AP57" s="552">
        <v>0</v>
      </c>
      <c r="AQ57" s="552">
        <v>0</v>
      </c>
      <c r="AR57" s="552">
        <v>0</v>
      </c>
      <c r="AS57" s="552">
        <v>0</v>
      </c>
      <c r="AT57" s="552">
        <v>15.000000000000016</v>
      </c>
      <c r="AU57" s="552">
        <v>0</v>
      </c>
      <c r="AV57" s="552">
        <v>83.980355898209226</v>
      </c>
      <c r="AW57" s="552">
        <v>0</v>
      </c>
      <c r="AX57" s="552">
        <v>0</v>
      </c>
      <c r="AY57" s="552">
        <v>0</v>
      </c>
      <c r="AZ57" s="552">
        <v>0</v>
      </c>
      <c r="BA57" s="552">
        <v>0</v>
      </c>
      <c r="BB57" s="552">
        <v>0</v>
      </c>
      <c r="BC57" s="552">
        <v>1.7800000000000074</v>
      </c>
      <c r="BD57" s="552">
        <v>0</v>
      </c>
      <c r="BE57" s="552">
        <v>1.034</v>
      </c>
      <c r="BF57" s="552">
        <v>0</v>
      </c>
      <c r="BG57" s="552">
        <v>0</v>
      </c>
      <c r="BH57" s="567">
        <v>0</v>
      </c>
      <c r="BI57" s="552">
        <v>0</v>
      </c>
      <c r="BJ57" s="552">
        <v>1</v>
      </c>
      <c r="BK57" s="552">
        <v>0</v>
      </c>
    </row>
    <row r="58" spans="1:63" ht="14.5" x14ac:dyDescent="0.35">
      <c r="A58" s="563">
        <v>146921</v>
      </c>
      <c r="B58" s="563">
        <v>8312451</v>
      </c>
      <c r="C58" s="564" t="s">
        <v>113</v>
      </c>
      <c r="D58" s="538" t="s">
        <v>267</v>
      </c>
      <c r="E58" s="565" t="s">
        <v>770</v>
      </c>
      <c r="F58" s="566">
        <v>1</v>
      </c>
      <c r="G58" s="552">
        <v>0</v>
      </c>
      <c r="H58" s="552">
        <v>0</v>
      </c>
      <c r="I58" s="552">
        <v>7</v>
      </c>
      <c r="J58" s="552">
        <v>0</v>
      </c>
      <c r="K58" s="552">
        <v>0</v>
      </c>
      <c r="L58" s="552">
        <v>0</v>
      </c>
      <c r="M58" s="552">
        <v>575</v>
      </c>
      <c r="N58" s="552">
        <v>575</v>
      </c>
      <c r="O58" s="552">
        <v>68</v>
      </c>
      <c r="P58" s="552">
        <v>507</v>
      </c>
      <c r="Q58" s="552">
        <v>0</v>
      </c>
      <c r="R58" s="552">
        <v>0</v>
      </c>
      <c r="S58" s="552">
        <v>0</v>
      </c>
      <c r="T58" s="552">
        <v>0</v>
      </c>
      <c r="U58" s="552">
        <v>0</v>
      </c>
      <c r="V58" s="552">
        <v>0</v>
      </c>
      <c r="W58" s="552">
        <v>0</v>
      </c>
      <c r="X58" s="552">
        <v>0</v>
      </c>
      <c r="Y58" s="552">
        <v>0</v>
      </c>
      <c r="Z58" s="552">
        <v>575</v>
      </c>
      <c r="AA58" s="552">
        <v>82.142857142857139</v>
      </c>
      <c r="AB58" s="552">
        <v>226.00000000000026</v>
      </c>
      <c r="AC58" s="552">
        <v>231.99999999999989</v>
      </c>
      <c r="AD58" s="552">
        <v>0</v>
      </c>
      <c r="AE58" s="552">
        <v>0</v>
      </c>
      <c r="AF58" s="552">
        <v>259.00000000000023</v>
      </c>
      <c r="AG58" s="552">
        <v>52.000000000000028</v>
      </c>
      <c r="AH58" s="552">
        <v>141.99999999999974</v>
      </c>
      <c r="AI58" s="552">
        <v>46</v>
      </c>
      <c r="AJ58" s="552">
        <v>53.000000000000021</v>
      </c>
      <c r="AK58" s="552">
        <v>11.000000000000002</v>
      </c>
      <c r="AL58" s="552">
        <v>11.999999999999996</v>
      </c>
      <c r="AM58" s="552">
        <v>0</v>
      </c>
      <c r="AN58" s="552">
        <v>0</v>
      </c>
      <c r="AO58" s="552">
        <v>0</v>
      </c>
      <c r="AP58" s="552">
        <v>0</v>
      </c>
      <c r="AQ58" s="552">
        <v>0</v>
      </c>
      <c r="AR58" s="552">
        <v>0</v>
      </c>
      <c r="AS58" s="552">
        <v>0</v>
      </c>
      <c r="AT58" s="552">
        <v>23.816568047337295</v>
      </c>
      <c r="AU58" s="552">
        <v>0</v>
      </c>
      <c r="AV58" s="552">
        <v>100.55771842688696</v>
      </c>
      <c r="AW58" s="552">
        <v>0</v>
      </c>
      <c r="AX58" s="552">
        <v>0</v>
      </c>
      <c r="AY58" s="552">
        <v>0</v>
      </c>
      <c r="AZ58" s="552">
        <v>0</v>
      </c>
      <c r="BA58" s="552">
        <v>0</v>
      </c>
      <c r="BB58" s="552">
        <v>0</v>
      </c>
      <c r="BC58" s="552">
        <v>0</v>
      </c>
      <c r="BD58" s="552">
        <v>0</v>
      </c>
      <c r="BE58" s="552">
        <v>0.55700000000000005</v>
      </c>
      <c r="BF58" s="552">
        <v>0</v>
      </c>
      <c r="BG58" s="552">
        <v>0</v>
      </c>
      <c r="BH58" s="567">
        <v>0</v>
      </c>
      <c r="BI58" s="552">
        <v>0</v>
      </c>
      <c r="BJ58" s="552">
        <v>1</v>
      </c>
      <c r="BK58" s="552">
        <v>0</v>
      </c>
    </row>
    <row r="59" spans="1:63" ht="14.5" x14ac:dyDescent="0.35">
      <c r="A59" s="563">
        <v>146507</v>
      </c>
      <c r="B59" s="563">
        <v>8312455</v>
      </c>
      <c r="C59" s="564" t="s">
        <v>114</v>
      </c>
      <c r="D59" s="538" t="s">
        <v>267</v>
      </c>
      <c r="E59" s="565" t="s">
        <v>770</v>
      </c>
      <c r="F59" s="566">
        <v>1</v>
      </c>
      <c r="G59" s="552">
        <v>0</v>
      </c>
      <c r="H59" s="552">
        <v>0</v>
      </c>
      <c r="I59" s="552">
        <v>3</v>
      </c>
      <c r="J59" s="552">
        <v>0</v>
      </c>
      <c r="K59" s="552">
        <v>0</v>
      </c>
      <c r="L59" s="552">
        <v>0</v>
      </c>
      <c r="M59" s="552">
        <v>234</v>
      </c>
      <c r="N59" s="552">
        <v>234</v>
      </c>
      <c r="O59" s="552">
        <v>66</v>
      </c>
      <c r="P59" s="552">
        <v>168</v>
      </c>
      <c r="Q59" s="552">
        <v>0</v>
      </c>
      <c r="R59" s="552">
        <v>0</v>
      </c>
      <c r="S59" s="552">
        <v>0</v>
      </c>
      <c r="T59" s="552">
        <v>0</v>
      </c>
      <c r="U59" s="552">
        <v>0</v>
      </c>
      <c r="V59" s="552">
        <v>0</v>
      </c>
      <c r="W59" s="552">
        <v>0</v>
      </c>
      <c r="X59" s="552">
        <v>0</v>
      </c>
      <c r="Y59" s="552">
        <v>0</v>
      </c>
      <c r="Z59" s="552">
        <v>234</v>
      </c>
      <c r="AA59" s="552">
        <v>78</v>
      </c>
      <c r="AB59" s="552">
        <v>64.000000000000114</v>
      </c>
      <c r="AC59" s="552">
        <v>64.000000000000114</v>
      </c>
      <c r="AD59" s="552">
        <v>0</v>
      </c>
      <c r="AE59" s="552">
        <v>0</v>
      </c>
      <c r="AF59" s="552">
        <v>186.79828326180257</v>
      </c>
      <c r="AG59" s="552">
        <v>40.171673819742423</v>
      </c>
      <c r="AH59" s="552">
        <v>0</v>
      </c>
      <c r="AI59" s="552">
        <v>1.0042918454935619</v>
      </c>
      <c r="AJ59" s="552">
        <v>0</v>
      </c>
      <c r="AK59" s="552">
        <v>2.0085836909871237</v>
      </c>
      <c r="AL59" s="552">
        <v>4.0171673819742422</v>
      </c>
      <c r="AM59" s="552">
        <v>0</v>
      </c>
      <c r="AN59" s="552">
        <v>0</v>
      </c>
      <c r="AO59" s="552">
        <v>0</v>
      </c>
      <c r="AP59" s="552">
        <v>0</v>
      </c>
      <c r="AQ59" s="552">
        <v>0</v>
      </c>
      <c r="AR59" s="552">
        <v>0</v>
      </c>
      <c r="AS59" s="552">
        <v>0</v>
      </c>
      <c r="AT59" s="552">
        <v>32.035714285714306</v>
      </c>
      <c r="AU59" s="552">
        <v>0</v>
      </c>
      <c r="AV59" s="552">
        <v>91.077844311377262</v>
      </c>
      <c r="AW59" s="552">
        <v>0</v>
      </c>
      <c r="AX59" s="552">
        <v>0</v>
      </c>
      <c r="AY59" s="552">
        <v>0</v>
      </c>
      <c r="AZ59" s="552">
        <v>0</v>
      </c>
      <c r="BA59" s="552">
        <v>0</v>
      </c>
      <c r="BB59" s="552">
        <v>0</v>
      </c>
      <c r="BC59" s="552">
        <v>0</v>
      </c>
      <c r="BD59" s="552">
        <v>0</v>
      </c>
      <c r="BE59" s="552">
        <v>1.0309999999999999</v>
      </c>
      <c r="BF59" s="552">
        <v>0</v>
      </c>
      <c r="BG59" s="552">
        <v>0</v>
      </c>
      <c r="BH59" s="567">
        <v>0</v>
      </c>
      <c r="BI59" s="552">
        <v>0</v>
      </c>
      <c r="BJ59" s="552">
        <v>1</v>
      </c>
      <c r="BK59" s="552">
        <v>0</v>
      </c>
    </row>
    <row r="60" spans="1:63" ht="14.5" x14ac:dyDescent="0.35">
      <c r="A60" s="563">
        <v>147125</v>
      </c>
      <c r="B60" s="563">
        <v>8312456</v>
      </c>
      <c r="C60" s="564" t="s">
        <v>115</v>
      </c>
      <c r="D60" s="538" t="s">
        <v>267</v>
      </c>
      <c r="E60" s="565" t="s">
        <v>770</v>
      </c>
      <c r="F60" s="566">
        <v>1</v>
      </c>
      <c r="G60" s="552">
        <v>0</v>
      </c>
      <c r="H60" s="552">
        <v>0</v>
      </c>
      <c r="I60" s="552">
        <v>3</v>
      </c>
      <c r="J60" s="552">
        <v>0</v>
      </c>
      <c r="K60" s="552">
        <v>0</v>
      </c>
      <c r="L60" s="552">
        <v>0</v>
      </c>
      <c r="M60" s="552">
        <v>147</v>
      </c>
      <c r="N60" s="552">
        <v>147</v>
      </c>
      <c r="O60" s="552">
        <v>47</v>
      </c>
      <c r="P60" s="552">
        <v>100</v>
      </c>
      <c r="Q60" s="552">
        <v>0</v>
      </c>
      <c r="R60" s="552">
        <v>0</v>
      </c>
      <c r="S60" s="552">
        <v>0</v>
      </c>
      <c r="T60" s="552">
        <v>0</v>
      </c>
      <c r="U60" s="552">
        <v>0</v>
      </c>
      <c r="V60" s="552">
        <v>0</v>
      </c>
      <c r="W60" s="552">
        <v>0</v>
      </c>
      <c r="X60" s="552">
        <v>0</v>
      </c>
      <c r="Y60" s="552">
        <v>0</v>
      </c>
      <c r="Z60" s="552">
        <v>147</v>
      </c>
      <c r="AA60" s="552">
        <v>49</v>
      </c>
      <c r="AB60" s="552">
        <v>32.99999999999995</v>
      </c>
      <c r="AC60" s="552">
        <v>32.99999999999995</v>
      </c>
      <c r="AD60" s="552">
        <v>0</v>
      </c>
      <c r="AE60" s="552">
        <v>0</v>
      </c>
      <c r="AF60" s="552">
        <v>126.99999999999993</v>
      </c>
      <c r="AG60" s="552">
        <v>5.0000000000000044</v>
      </c>
      <c r="AH60" s="552">
        <v>5.0000000000000044</v>
      </c>
      <c r="AI60" s="552">
        <v>4</v>
      </c>
      <c r="AJ60" s="552">
        <v>4</v>
      </c>
      <c r="AK60" s="552">
        <v>0.99999999999999944</v>
      </c>
      <c r="AL60" s="552">
        <v>0.99999999999999944</v>
      </c>
      <c r="AM60" s="552">
        <v>0</v>
      </c>
      <c r="AN60" s="552">
        <v>0</v>
      </c>
      <c r="AO60" s="552">
        <v>0</v>
      </c>
      <c r="AP60" s="552">
        <v>0</v>
      </c>
      <c r="AQ60" s="552">
        <v>0</v>
      </c>
      <c r="AR60" s="552">
        <v>0</v>
      </c>
      <c r="AS60" s="552">
        <v>0</v>
      </c>
      <c r="AT60" s="552">
        <v>73.5</v>
      </c>
      <c r="AU60" s="552">
        <v>0</v>
      </c>
      <c r="AV60" s="552">
        <v>49.00000000000005</v>
      </c>
      <c r="AW60" s="552">
        <v>0</v>
      </c>
      <c r="AX60" s="552">
        <v>0</v>
      </c>
      <c r="AY60" s="552">
        <v>0</v>
      </c>
      <c r="AZ60" s="552">
        <v>0</v>
      </c>
      <c r="BA60" s="552">
        <v>0</v>
      </c>
      <c r="BB60" s="552">
        <v>0</v>
      </c>
      <c r="BC60" s="552">
        <v>3.1800000000000015</v>
      </c>
      <c r="BD60" s="552">
        <v>0</v>
      </c>
      <c r="BE60" s="552">
        <v>0.91500000000000004</v>
      </c>
      <c r="BF60" s="552">
        <v>0</v>
      </c>
      <c r="BG60" s="552">
        <v>0</v>
      </c>
      <c r="BH60" s="567">
        <v>0</v>
      </c>
      <c r="BI60" s="552">
        <v>0</v>
      </c>
      <c r="BJ60" s="552">
        <v>1</v>
      </c>
      <c r="BK60" s="552">
        <v>0</v>
      </c>
    </row>
    <row r="61" spans="1:63" ht="14.5" x14ac:dyDescent="0.35">
      <c r="A61" s="563">
        <v>147399</v>
      </c>
      <c r="B61" s="563">
        <v>8312463</v>
      </c>
      <c r="C61" s="564" t="s">
        <v>116</v>
      </c>
      <c r="D61" s="538" t="s">
        <v>267</v>
      </c>
      <c r="E61" s="565" t="s">
        <v>770</v>
      </c>
      <c r="F61" s="566">
        <v>1</v>
      </c>
      <c r="G61" s="552">
        <v>0</v>
      </c>
      <c r="H61" s="552">
        <v>0</v>
      </c>
      <c r="I61" s="552">
        <v>4</v>
      </c>
      <c r="J61" s="552">
        <v>0</v>
      </c>
      <c r="K61" s="552">
        <v>0</v>
      </c>
      <c r="L61" s="552">
        <v>0</v>
      </c>
      <c r="M61" s="552">
        <v>351</v>
      </c>
      <c r="N61" s="552">
        <v>351</v>
      </c>
      <c r="O61" s="552">
        <v>0</v>
      </c>
      <c r="P61" s="552">
        <v>351</v>
      </c>
      <c r="Q61" s="552">
        <v>0</v>
      </c>
      <c r="R61" s="552">
        <v>0</v>
      </c>
      <c r="S61" s="552">
        <v>0</v>
      </c>
      <c r="T61" s="552">
        <v>0</v>
      </c>
      <c r="U61" s="552">
        <v>0</v>
      </c>
      <c r="V61" s="552">
        <v>0</v>
      </c>
      <c r="W61" s="552">
        <v>0</v>
      </c>
      <c r="X61" s="552">
        <v>0</v>
      </c>
      <c r="Y61" s="552">
        <v>0</v>
      </c>
      <c r="Z61" s="552">
        <v>351</v>
      </c>
      <c r="AA61" s="552">
        <v>87.75</v>
      </c>
      <c r="AB61" s="552">
        <v>108.0000000000001</v>
      </c>
      <c r="AC61" s="552">
        <v>110.99999999999991</v>
      </c>
      <c r="AD61" s="552">
        <v>0</v>
      </c>
      <c r="AE61" s="552">
        <v>0</v>
      </c>
      <c r="AF61" s="552">
        <v>269.99999999999994</v>
      </c>
      <c r="AG61" s="552">
        <v>37.999999999999908</v>
      </c>
      <c r="AH61" s="552">
        <v>20.999999999999989</v>
      </c>
      <c r="AI61" s="552">
        <v>8.0000000000000036</v>
      </c>
      <c r="AJ61" s="552">
        <v>6.9999999999999849</v>
      </c>
      <c r="AK61" s="552">
        <v>2.0000000000000009</v>
      </c>
      <c r="AL61" s="552">
        <v>4.999999999999984</v>
      </c>
      <c r="AM61" s="552">
        <v>0</v>
      </c>
      <c r="AN61" s="552">
        <v>0</v>
      </c>
      <c r="AO61" s="552">
        <v>0</v>
      </c>
      <c r="AP61" s="552">
        <v>0</v>
      </c>
      <c r="AQ61" s="552">
        <v>0</v>
      </c>
      <c r="AR61" s="552">
        <v>0</v>
      </c>
      <c r="AS61" s="552">
        <v>0</v>
      </c>
      <c r="AT61" s="552">
        <v>36.000000000000156</v>
      </c>
      <c r="AU61" s="552">
        <v>0</v>
      </c>
      <c r="AV61" s="552">
        <v>107.19995604494081</v>
      </c>
      <c r="AW61" s="552">
        <v>0</v>
      </c>
      <c r="AX61" s="552">
        <v>0</v>
      </c>
      <c r="AY61" s="552">
        <v>0</v>
      </c>
      <c r="AZ61" s="552">
        <v>0</v>
      </c>
      <c r="BA61" s="552">
        <v>0</v>
      </c>
      <c r="BB61" s="552">
        <v>0</v>
      </c>
      <c r="BC61" s="552">
        <v>0</v>
      </c>
      <c r="BD61" s="552">
        <v>0</v>
      </c>
      <c r="BE61" s="552">
        <v>0.86799999999999999</v>
      </c>
      <c r="BF61" s="552">
        <v>0</v>
      </c>
      <c r="BG61" s="552">
        <v>0</v>
      </c>
      <c r="BH61" s="567">
        <v>0</v>
      </c>
      <c r="BI61" s="552">
        <v>0</v>
      </c>
      <c r="BJ61" s="552">
        <v>1</v>
      </c>
      <c r="BK61" s="552">
        <v>0</v>
      </c>
    </row>
    <row r="62" spans="1:63" ht="14.5" x14ac:dyDescent="0.35">
      <c r="A62" s="563">
        <v>146855</v>
      </c>
      <c r="B62" s="563">
        <v>8312464</v>
      </c>
      <c r="C62" s="564" t="s">
        <v>117</v>
      </c>
      <c r="D62" s="538" t="s">
        <v>267</v>
      </c>
      <c r="E62" s="565" t="s">
        <v>770</v>
      </c>
      <c r="F62" s="566">
        <v>1</v>
      </c>
      <c r="G62" s="552">
        <v>0</v>
      </c>
      <c r="H62" s="552">
        <v>0</v>
      </c>
      <c r="I62" s="552">
        <v>7</v>
      </c>
      <c r="J62" s="552">
        <v>0</v>
      </c>
      <c r="K62" s="552">
        <v>0</v>
      </c>
      <c r="L62" s="552">
        <v>0</v>
      </c>
      <c r="M62" s="552">
        <v>199</v>
      </c>
      <c r="N62" s="552">
        <v>199</v>
      </c>
      <c r="O62" s="552">
        <v>26</v>
      </c>
      <c r="P62" s="552">
        <v>173</v>
      </c>
      <c r="Q62" s="552">
        <v>0</v>
      </c>
      <c r="R62" s="552">
        <v>0</v>
      </c>
      <c r="S62" s="552">
        <v>0</v>
      </c>
      <c r="T62" s="552">
        <v>0</v>
      </c>
      <c r="U62" s="552">
        <v>0</v>
      </c>
      <c r="V62" s="552">
        <v>0</v>
      </c>
      <c r="W62" s="552">
        <v>0</v>
      </c>
      <c r="X62" s="552">
        <v>0</v>
      </c>
      <c r="Y62" s="552">
        <v>0</v>
      </c>
      <c r="Z62" s="552">
        <v>199</v>
      </c>
      <c r="AA62" s="552">
        <v>28.428571428571427</v>
      </c>
      <c r="AB62" s="552">
        <v>52.999999999999943</v>
      </c>
      <c r="AC62" s="552">
        <v>52.999999999999943</v>
      </c>
      <c r="AD62" s="552">
        <v>0</v>
      </c>
      <c r="AE62" s="552">
        <v>0</v>
      </c>
      <c r="AF62" s="552">
        <v>35.999999999999936</v>
      </c>
      <c r="AG62" s="552">
        <v>48.00000000000005</v>
      </c>
      <c r="AH62" s="552">
        <v>65.000000000000043</v>
      </c>
      <c r="AI62" s="552">
        <v>2.9999999999999978</v>
      </c>
      <c r="AJ62" s="552">
        <v>42.99999999999995</v>
      </c>
      <c r="AK62" s="552">
        <v>2.9999999999999978</v>
      </c>
      <c r="AL62" s="552">
        <v>0.99999999999999933</v>
      </c>
      <c r="AM62" s="552">
        <v>0</v>
      </c>
      <c r="AN62" s="552">
        <v>0</v>
      </c>
      <c r="AO62" s="552">
        <v>0</v>
      </c>
      <c r="AP62" s="552">
        <v>0</v>
      </c>
      <c r="AQ62" s="552">
        <v>0</v>
      </c>
      <c r="AR62" s="552">
        <v>0</v>
      </c>
      <c r="AS62" s="552">
        <v>0</v>
      </c>
      <c r="AT62" s="552">
        <v>5.7514450867051936</v>
      </c>
      <c r="AU62" s="552">
        <v>0</v>
      </c>
      <c r="AV62" s="552">
        <v>47.729791271347224</v>
      </c>
      <c r="AW62" s="552">
        <v>0</v>
      </c>
      <c r="AX62" s="552">
        <v>0</v>
      </c>
      <c r="AY62" s="552">
        <v>0</v>
      </c>
      <c r="AZ62" s="552">
        <v>0</v>
      </c>
      <c r="BA62" s="552">
        <v>0</v>
      </c>
      <c r="BB62" s="552">
        <v>0</v>
      </c>
      <c r="BC62" s="552">
        <v>0</v>
      </c>
      <c r="BD62" s="552">
        <v>0</v>
      </c>
      <c r="BE62" s="552">
        <v>0.92400000000000004</v>
      </c>
      <c r="BF62" s="552">
        <v>0</v>
      </c>
      <c r="BG62" s="552">
        <v>0</v>
      </c>
      <c r="BH62" s="567">
        <v>0</v>
      </c>
      <c r="BI62" s="552">
        <v>0</v>
      </c>
      <c r="BJ62" s="552">
        <v>1</v>
      </c>
      <c r="BK62" s="552">
        <v>0</v>
      </c>
    </row>
    <row r="63" spans="1:63" ht="14.5" x14ac:dyDescent="0.35">
      <c r="A63" s="563">
        <v>146839</v>
      </c>
      <c r="B63" s="563">
        <v>8312466</v>
      </c>
      <c r="C63" s="564" t="s">
        <v>118</v>
      </c>
      <c r="D63" s="538" t="s">
        <v>267</v>
      </c>
      <c r="E63" s="565" t="s">
        <v>770</v>
      </c>
      <c r="F63" s="566">
        <v>1</v>
      </c>
      <c r="G63" s="552">
        <v>0</v>
      </c>
      <c r="H63" s="552">
        <v>0</v>
      </c>
      <c r="I63" s="552">
        <v>7</v>
      </c>
      <c r="J63" s="552">
        <v>0</v>
      </c>
      <c r="K63" s="552">
        <v>0</v>
      </c>
      <c r="L63" s="552">
        <v>0</v>
      </c>
      <c r="M63" s="552">
        <v>330</v>
      </c>
      <c r="N63" s="552">
        <v>330</v>
      </c>
      <c r="O63" s="552">
        <v>41</v>
      </c>
      <c r="P63" s="552">
        <v>289</v>
      </c>
      <c r="Q63" s="552">
        <v>0</v>
      </c>
      <c r="R63" s="552">
        <v>0</v>
      </c>
      <c r="S63" s="552">
        <v>0</v>
      </c>
      <c r="T63" s="552">
        <v>0</v>
      </c>
      <c r="U63" s="552">
        <v>0</v>
      </c>
      <c r="V63" s="552">
        <v>0</v>
      </c>
      <c r="W63" s="552">
        <v>0</v>
      </c>
      <c r="X63" s="552">
        <v>0</v>
      </c>
      <c r="Y63" s="552">
        <v>0</v>
      </c>
      <c r="Z63" s="552">
        <v>330</v>
      </c>
      <c r="AA63" s="552">
        <v>47.142857142857146</v>
      </c>
      <c r="AB63" s="552">
        <v>110.99999999999987</v>
      </c>
      <c r="AC63" s="552">
        <v>111.99999999999987</v>
      </c>
      <c r="AD63" s="552">
        <v>0</v>
      </c>
      <c r="AE63" s="552">
        <v>0</v>
      </c>
      <c r="AF63" s="552">
        <v>174.99999999999991</v>
      </c>
      <c r="AG63" s="552">
        <v>63.000000000000028</v>
      </c>
      <c r="AH63" s="552">
        <v>35.999999999999972</v>
      </c>
      <c r="AI63" s="552">
        <v>5.000000000000016</v>
      </c>
      <c r="AJ63" s="552">
        <v>37.99999999999995</v>
      </c>
      <c r="AK63" s="552">
        <v>3.9999999999999933</v>
      </c>
      <c r="AL63" s="552">
        <v>9.0000000000000089</v>
      </c>
      <c r="AM63" s="552">
        <v>0</v>
      </c>
      <c r="AN63" s="552">
        <v>0</v>
      </c>
      <c r="AO63" s="552">
        <v>0</v>
      </c>
      <c r="AP63" s="552">
        <v>0</v>
      </c>
      <c r="AQ63" s="552">
        <v>0</v>
      </c>
      <c r="AR63" s="552">
        <v>0</v>
      </c>
      <c r="AS63" s="552">
        <v>0</v>
      </c>
      <c r="AT63" s="552">
        <v>6.8512110726643654</v>
      </c>
      <c r="AU63" s="552">
        <v>0</v>
      </c>
      <c r="AV63" s="552">
        <v>106.92880517912552</v>
      </c>
      <c r="AW63" s="552">
        <v>0</v>
      </c>
      <c r="AX63" s="552">
        <v>0</v>
      </c>
      <c r="AY63" s="552">
        <v>0</v>
      </c>
      <c r="AZ63" s="552">
        <v>0</v>
      </c>
      <c r="BA63" s="552">
        <v>0</v>
      </c>
      <c r="BB63" s="552">
        <v>0</v>
      </c>
      <c r="BC63" s="552">
        <v>0</v>
      </c>
      <c r="BD63" s="552">
        <v>0</v>
      </c>
      <c r="BE63" s="552">
        <v>0.159</v>
      </c>
      <c r="BF63" s="552">
        <v>0</v>
      </c>
      <c r="BG63" s="552">
        <v>0</v>
      </c>
      <c r="BH63" s="567">
        <v>0</v>
      </c>
      <c r="BI63" s="552">
        <v>0</v>
      </c>
      <c r="BJ63" s="552">
        <v>1</v>
      </c>
      <c r="BK63" s="552">
        <v>0</v>
      </c>
    </row>
    <row r="64" spans="1:63" ht="14.5" x14ac:dyDescent="0.35">
      <c r="A64" s="563">
        <v>145592</v>
      </c>
      <c r="B64" s="563">
        <v>8312467</v>
      </c>
      <c r="C64" s="564" t="s">
        <v>119</v>
      </c>
      <c r="D64" s="538" t="s">
        <v>267</v>
      </c>
      <c r="E64" s="565" t="s">
        <v>770</v>
      </c>
      <c r="F64" s="566">
        <v>1</v>
      </c>
      <c r="G64" s="552">
        <v>0</v>
      </c>
      <c r="H64" s="552">
        <v>0</v>
      </c>
      <c r="I64" s="552">
        <v>7</v>
      </c>
      <c r="J64" s="552">
        <v>0</v>
      </c>
      <c r="K64" s="552">
        <v>0</v>
      </c>
      <c r="L64" s="552">
        <v>0</v>
      </c>
      <c r="M64" s="552">
        <v>210</v>
      </c>
      <c r="N64" s="552">
        <v>210</v>
      </c>
      <c r="O64" s="552">
        <v>19</v>
      </c>
      <c r="P64" s="552">
        <v>191</v>
      </c>
      <c r="Q64" s="552">
        <v>0</v>
      </c>
      <c r="R64" s="552">
        <v>0</v>
      </c>
      <c r="S64" s="552">
        <v>0</v>
      </c>
      <c r="T64" s="552">
        <v>0</v>
      </c>
      <c r="U64" s="552">
        <v>0</v>
      </c>
      <c r="V64" s="552">
        <v>0</v>
      </c>
      <c r="W64" s="552">
        <v>0</v>
      </c>
      <c r="X64" s="552">
        <v>0</v>
      </c>
      <c r="Y64" s="552">
        <v>0</v>
      </c>
      <c r="Z64" s="552">
        <v>210</v>
      </c>
      <c r="AA64" s="552">
        <v>30</v>
      </c>
      <c r="AB64" s="552">
        <v>74.999999999999972</v>
      </c>
      <c r="AC64" s="552">
        <v>76.000000000000028</v>
      </c>
      <c r="AD64" s="552">
        <v>0</v>
      </c>
      <c r="AE64" s="552">
        <v>0</v>
      </c>
      <c r="AF64" s="552">
        <v>69.999999999999929</v>
      </c>
      <c r="AG64" s="552">
        <v>21</v>
      </c>
      <c r="AH64" s="552">
        <v>47.000000000000043</v>
      </c>
      <c r="AI64" s="552">
        <v>61.999999999999957</v>
      </c>
      <c r="AJ64" s="552">
        <v>3.9999999999999902</v>
      </c>
      <c r="AK64" s="552">
        <v>3.0000000000000027</v>
      </c>
      <c r="AL64" s="552">
        <v>3.0000000000000027</v>
      </c>
      <c r="AM64" s="552">
        <v>0</v>
      </c>
      <c r="AN64" s="552">
        <v>0</v>
      </c>
      <c r="AO64" s="552">
        <v>0</v>
      </c>
      <c r="AP64" s="552">
        <v>0</v>
      </c>
      <c r="AQ64" s="552">
        <v>0</v>
      </c>
      <c r="AR64" s="552">
        <v>0</v>
      </c>
      <c r="AS64" s="552">
        <v>0</v>
      </c>
      <c r="AT64" s="552">
        <v>13.193717277486899</v>
      </c>
      <c r="AU64" s="552">
        <v>0</v>
      </c>
      <c r="AV64" s="552">
        <v>60.060851926977733</v>
      </c>
      <c r="AW64" s="552">
        <v>0</v>
      </c>
      <c r="AX64" s="552">
        <v>0</v>
      </c>
      <c r="AY64" s="552">
        <v>0</v>
      </c>
      <c r="AZ64" s="552">
        <v>0</v>
      </c>
      <c r="BA64" s="552">
        <v>0</v>
      </c>
      <c r="BB64" s="552">
        <v>0</v>
      </c>
      <c r="BC64" s="552">
        <v>0.39999999999999947</v>
      </c>
      <c r="BD64" s="552">
        <v>0</v>
      </c>
      <c r="BE64" s="552">
        <v>0.55700000000000005</v>
      </c>
      <c r="BF64" s="552">
        <v>0</v>
      </c>
      <c r="BG64" s="552">
        <v>0</v>
      </c>
      <c r="BH64" s="567">
        <v>0</v>
      </c>
      <c r="BI64" s="552">
        <v>0</v>
      </c>
      <c r="BJ64" s="552">
        <v>1</v>
      </c>
      <c r="BK64" s="552">
        <v>0</v>
      </c>
    </row>
    <row r="65" spans="1:63" ht="14.5" x14ac:dyDescent="0.35">
      <c r="A65" s="563">
        <v>146938</v>
      </c>
      <c r="B65" s="563">
        <v>8312471</v>
      </c>
      <c r="C65" s="564" t="s">
        <v>120</v>
      </c>
      <c r="D65" s="538" t="s">
        <v>267</v>
      </c>
      <c r="E65" s="565" t="s">
        <v>770</v>
      </c>
      <c r="F65" s="566">
        <v>1</v>
      </c>
      <c r="G65" s="552">
        <v>0</v>
      </c>
      <c r="H65" s="552">
        <v>0</v>
      </c>
      <c r="I65" s="552">
        <v>4</v>
      </c>
      <c r="J65" s="552">
        <v>0</v>
      </c>
      <c r="K65" s="552">
        <v>0</v>
      </c>
      <c r="L65" s="552">
        <v>0</v>
      </c>
      <c r="M65" s="552">
        <v>345</v>
      </c>
      <c r="N65" s="552">
        <v>345</v>
      </c>
      <c r="O65" s="552">
        <v>0</v>
      </c>
      <c r="P65" s="552">
        <v>345</v>
      </c>
      <c r="Q65" s="552">
        <v>0</v>
      </c>
      <c r="R65" s="552">
        <v>0</v>
      </c>
      <c r="S65" s="552">
        <v>0</v>
      </c>
      <c r="T65" s="552">
        <v>0</v>
      </c>
      <c r="U65" s="552">
        <v>0</v>
      </c>
      <c r="V65" s="552">
        <v>0</v>
      </c>
      <c r="W65" s="552">
        <v>0</v>
      </c>
      <c r="X65" s="552">
        <v>0</v>
      </c>
      <c r="Y65" s="552">
        <v>0</v>
      </c>
      <c r="Z65" s="552">
        <v>345</v>
      </c>
      <c r="AA65" s="552">
        <v>86.25</v>
      </c>
      <c r="AB65" s="552">
        <v>168.99999999999997</v>
      </c>
      <c r="AC65" s="552">
        <v>171.00000000000017</v>
      </c>
      <c r="AD65" s="552">
        <v>0</v>
      </c>
      <c r="AE65" s="552">
        <v>0</v>
      </c>
      <c r="AF65" s="552">
        <v>164.00000000000011</v>
      </c>
      <c r="AG65" s="552">
        <v>9.9999999999999964</v>
      </c>
      <c r="AH65" s="552">
        <v>70.999999999999872</v>
      </c>
      <c r="AI65" s="552">
        <v>0</v>
      </c>
      <c r="AJ65" s="552">
        <v>27.000000000000004</v>
      </c>
      <c r="AK65" s="552">
        <v>27.000000000000004</v>
      </c>
      <c r="AL65" s="552">
        <v>45.999999999999886</v>
      </c>
      <c r="AM65" s="552">
        <v>0</v>
      </c>
      <c r="AN65" s="552">
        <v>0</v>
      </c>
      <c r="AO65" s="552">
        <v>0</v>
      </c>
      <c r="AP65" s="552">
        <v>0</v>
      </c>
      <c r="AQ65" s="552">
        <v>0</v>
      </c>
      <c r="AR65" s="552">
        <v>0</v>
      </c>
      <c r="AS65" s="552">
        <v>0</v>
      </c>
      <c r="AT65" s="552">
        <v>9.9999999999999964</v>
      </c>
      <c r="AU65" s="552">
        <v>0</v>
      </c>
      <c r="AV65" s="552">
        <v>117.8762187367529</v>
      </c>
      <c r="AW65" s="552">
        <v>0</v>
      </c>
      <c r="AX65" s="552">
        <v>0</v>
      </c>
      <c r="AY65" s="552">
        <v>0</v>
      </c>
      <c r="AZ65" s="552">
        <v>0</v>
      </c>
      <c r="BA65" s="552">
        <v>0</v>
      </c>
      <c r="BB65" s="552">
        <v>0</v>
      </c>
      <c r="BC65" s="552">
        <v>0</v>
      </c>
      <c r="BD65" s="552">
        <v>0</v>
      </c>
      <c r="BE65" s="552">
        <v>0.77500000000000002</v>
      </c>
      <c r="BF65" s="552">
        <v>0</v>
      </c>
      <c r="BG65" s="552">
        <v>0</v>
      </c>
      <c r="BH65" s="567">
        <v>0</v>
      </c>
      <c r="BI65" s="552">
        <v>0</v>
      </c>
      <c r="BJ65" s="552">
        <v>1</v>
      </c>
      <c r="BK65" s="552">
        <v>0</v>
      </c>
    </row>
    <row r="66" spans="1:63" ht="14.5" x14ac:dyDescent="0.35">
      <c r="A66" s="563">
        <v>145806</v>
      </c>
      <c r="B66" s="563">
        <v>8312509</v>
      </c>
      <c r="C66" s="564" t="s">
        <v>121</v>
      </c>
      <c r="D66" s="538" t="s">
        <v>267</v>
      </c>
      <c r="E66" s="565" t="s">
        <v>770</v>
      </c>
      <c r="F66" s="566">
        <v>1</v>
      </c>
      <c r="G66" s="552">
        <v>0</v>
      </c>
      <c r="H66" s="552">
        <v>0</v>
      </c>
      <c r="I66" s="552">
        <v>7</v>
      </c>
      <c r="J66" s="552">
        <v>0</v>
      </c>
      <c r="K66" s="552">
        <v>0</v>
      </c>
      <c r="L66" s="552">
        <v>0</v>
      </c>
      <c r="M66" s="552">
        <v>179</v>
      </c>
      <c r="N66" s="552">
        <v>179</v>
      </c>
      <c r="O66" s="552">
        <v>23</v>
      </c>
      <c r="P66" s="552">
        <v>156</v>
      </c>
      <c r="Q66" s="552">
        <v>0</v>
      </c>
      <c r="R66" s="552">
        <v>0</v>
      </c>
      <c r="S66" s="552">
        <v>0</v>
      </c>
      <c r="T66" s="552">
        <v>0</v>
      </c>
      <c r="U66" s="552">
        <v>0</v>
      </c>
      <c r="V66" s="552">
        <v>0</v>
      </c>
      <c r="W66" s="552">
        <v>0</v>
      </c>
      <c r="X66" s="552">
        <v>0</v>
      </c>
      <c r="Y66" s="552">
        <v>0</v>
      </c>
      <c r="Z66" s="552">
        <v>179</v>
      </c>
      <c r="AA66" s="552">
        <v>25.571428571428573</v>
      </c>
      <c r="AB66" s="552">
        <v>82.000000000000028</v>
      </c>
      <c r="AC66" s="552">
        <v>83.000000000000028</v>
      </c>
      <c r="AD66" s="552">
        <v>0</v>
      </c>
      <c r="AE66" s="552">
        <v>0</v>
      </c>
      <c r="AF66" s="552">
        <v>106.00000000000007</v>
      </c>
      <c r="AG66" s="552">
        <v>4</v>
      </c>
      <c r="AH66" s="552">
        <v>18.999999999999993</v>
      </c>
      <c r="AI66" s="552">
        <v>6.9999999999999911</v>
      </c>
      <c r="AJ66" s="552">
        <v>29.999999999999915</v>
      </c>
      <c r="AK66" s="552">
        <v>12</v>
      </c>
      <c r="AL66" s="552">
        <v>1</v>
      </c>
      <c r="AM66" s="552">
        <v>0</v>
      </c>
      <c r="AN66" s="552">
        <v>0</v>
      </c>
      <c r="AO66" s="552">
        <v>0</v>
      </c>
      <c r="AP66" s="552">
        <v>0</v>
      </c>
      <c r="AQ66" s="552">
        <v>0</v>
      </c>
      <c r="AR66" s="552">
        <v>0</v>
      </c>
      <c r="AS66" s="552">
        <v>0</v>
      </c>
      <c r="AT66" s="552">
        <v>79.173076923076877</v>
      </c>
      <c r="AU66" s="552">
        <v>0</v>
      </c>
      <c r="AV66" s="552">
        <v>63.170857895396935</v>
      </c>
      <c r="AW66" s="552">
        <v>0</v>
      </c>
      <c r="AX66" s="552">
        <v>0</v>
      </c>
      <c r="AY66" s="552">
        <v>0</v>
      </c>
      <c r="AZ66" s="552">
        <v>0</v>
      </c>
      <c r="BA66" s="552">
        <v>0</v>
      </c>
      <c r="BB66" s="552">
        <v>0</v>
      </c>
      <c r="BC66" s="552">
        <v>19.259999999999913</v>
      </c>
      <c r="BD66" s="552">
        <v>0</v>
      </c>
      <c r="BE66" s="552">
        <v>0.80400000000000005</v>
      </c>
      <c r="BF66" s="552">
        <v>0</v>
      </c>
      <c r="BG66" s="552">
        <v>0</v>
      </c>
      <c r="BH66" s="567">
        <v>0</v>
      </c>
      <c r="BI66" s="552">
        <v>0</v>
      </c>
      <c r="BJ66" s="552">
        <v>1</v>
      </c>
      <c r="BK66" s="552">
        <v>0</v>
      </c>
    </row>
    <row r="67" spans="1:63" ht="14.5" x14ac:dyDescent="0.35">
      <c r="A67" s="563">
        <v>147119</v>
      </c>
      <c r="B67" s="563">
        <v>8312512</v>
      </c>
      <c r="C67" s="564" t="s">
        <v>122</v>
      </c>
      <c r="D67" s="538" t="s">
        <v>267</v>
      </c>
      <c r="E67" s="565" t="s">
        <v>770</v>
      </c>
      <c r="F67" s="566">
        <v>1</v>
      </c>
      <c r="G67" s="552">
        <v>0</v>
      </c>
      <c r="H67" s="552">
        <v>0</v>
      </c>
      <c r="I67" s="552">
        <v>7</v>
      </c>
      <c r="J67" s="552">
        <v>0</v>
      </c>
      <c r="K67" s="552">
        <v>0</v>
      </c>
      <c r="L67" s="552">
        <v>0</v>
      </c>
      <c r="M67" s="552">
        <v>213</v>
      </c>
      <c r="N67" s="552">
        <v>213</v>
      </c>
      <c r="O67" s="552">
        <v>30</v>
      </c>
      <c r="P67" s="552">
        <v>183</v>
      </c>
      <c r="Q67" s="552">
        <v>0</v>
      </c>
      <c r="R67" s="552">
        <v>0</v>
      </c>
      <c r="S67" s="552">
        <v>0</v>
      </c>
      <c r="T67" s="552">
        <v>0</v>
      </c>
      <c r="U67" s="552">
        <v>0</v>
      </c>
      <c r="V67" s="552">
        <v>0</v>
      </c>
      <c r="W67" s="552">
        <v>0</v>
      </c>
      <c r="X67" s="552">
        <v>0</v>
      </c>
      <c r="Y67" s="552">
        <v>0</v>
      </c>
      <c r="Z67" s="552">
        <v>213</v>
      </c>
      <c r="AA67" s="552">
        <v>30.428571428571427</v>
      </c>
      <c r="AB67" s="552">
        <v>41.999999999999936</v>
      </c>
      <c r="AC67" s="552">
        <v>41.999999999999936</v>
      </c>
      <c r="AD67" s="552">
        <v>0</v>
      </c>
      <c r="AE67" s="552">
        <v>0</v>
      </c>
      <c r="AF67" s="552">
        <v>160.00000000000003</v>
      </c>
      <c r="AG67" s="552">
        <v>51.999999999999993</v>
      </c>
      <c r="AH67" s="552">
        <v>0.99999999999999933</v>
      </c>
      <c r="AI67" s="552">
        <v>0</v>
      </c>
      <c r="AJ67" s="552">
        <v>0</v>
      </c>
      <c r="AK67" s="552">
        <v>0</v>
      </c>
      <c r="AL67" s="552">
        <v>0</v>
      </c>
      <c r="AM67" s="552">
        <v>0</v>
      </c>
      <c r="AN67" s="552">
        <v>0</v>
      </c>
      <c r="AO67" s="552">
        <v>0</v>
      </c>
      <c r="AP67" s="552">
        <v>0</v>
      </c>
      <c r="AQ67" s="552">
        <v>0</v>
      </c>
      <c r="AR67" s="552">
        <v>0</v>
      </c>
      <c r="AS67" s="552">
        <v>0</v>
      </c>
      <c r="AT67" s="552">
        <v>38.292134831460594</v>
      </c>
      <c r="AU67" s="552">
        <v>0</v>
      </c>
      <c r="AV67" s="552">
        <v>61.424521072796928</v>
      </c>
      <c r="AW67" s="552">
        <v>0</v>
      </c>
      <c r="AX67" s="552">
        <v>0</v>
      </c>
      <c r="AY67" s="552">
        <v>0</v>
      </c>
      <c r="AZ67" s="552">
        <v>0</v>
      </c>
      <c r="BA67" s="552">
        <v>0</v>
      </c>
      <c r="BB67" s="552">
        <v>0</v>
      </c>
      <c r="BC67" s="552">
        <v>0</v>
      </c>
      <c r="BD67" s="552">
        <v>0</v>
      </c>
      <c r="BE67" s="552">
        <v>1.0860000000000001</v>
      </c>
      <c r="BF67" s="552">
        <v>0</v>
      </c>
      <c r="BG67" s="552">
        <v>0</v>
      </c>
      <c r="BH67" s="567">
        <v>0</v>
      </c>
      <c r="BI67" s="552">
        <v>0</v>
      </c>
      <c r="BJ67" s="552">
        <v>1</v>
      </c>
      <c r="BK67" s="552">
        <v>0</v>
      </c>
    </row>
    <row r="68" spans="1:63" ht="14.5" x14ac:dyDescent="0.35">
      <c r="A68" s="563">
        <v>147624</v>
      </c>
      <c r="B68" s="563">
        <v>8312522</v>
      </c>
      <c r="C68" s="564" t="s">
        <v>123</v>
      </c>
      <c r="D68" s="538" t="s">
        <v>267</v>
      </c>
      <c r="E68" s="565" t="s">
        <v>770</v>
      </c>
      <c r="F68" s="566">
        <v>1</v>
      </c>
      <c r="G68" s="552">
        <v>0</v>
      </c>
      <c r="H68" s="552">
        <v>0</v>
      </c>
      <c r="I68" s="552">
        <v>7</v>
      </c>
      <c r="J68" s="552">
        <v>0</v>
      </c>
      <c r="K68" s="552">
        <v>0</v>
      </c>
      <c r="L68" s="552">
        <v>0</v>
      </c>
      <c r="M68" s="552">
        <v>429</v>
      </c>
      <c r="N68" s="552">
        <v>429</v>
      </c>
      <c r="O68" s="552">
        <v>59</v>
      </c>
      <c r="P68" s="552">
        <v>370</v>
      </c>
      <c r="Q68" s="552">
        <v>0</v>
      </c>
      <c r="R68" s="552">
        <v>0</v>
      </c>
      <c r="S68" s="552">
        <v>0</v>
      </c>
      <c r="T68" s="552">
        <v>0</v>
      </c>
      <c r="U68" s="552">
        <v>0</v>
      </c>
      <c r="V68" s="552">
        <v>0</v>
      </c>
      <c r="W68" s="552">
        <v>0</v>
      </c>
      <c r="X68" s="552">
        <v>0</v>
      </c>
      <c r="Y68" s="552">
        <v>0</v>
      </c>
      <c r="Z68" s="552">
        <v>429</v>
      </c>
      <c r="AA68" s="552">
        <v>61.285714285714285</v>
      </c>
      <c r="AB68" s="552">
        <v>32.999999999999993</v>
      </c>
      <c r="AC68" s="552">
        <v>38.999999999999993</v>
      </c>
      <c r="AD68" s="552">
        <v>0</v>
      </c>
      <c r="AE68" s="552">
        <v>0</v>
      </c>
      <c r="AF68" s="552">
        <v>383.00000000000006</v>
      </c>
      <c r="AG68" s="552">
        <v>25.000000000000011</v>
      </c>
      <c r="AH68" s="552">
        <v>7.9999999999999796</v>
      </c>
      <c r="AI68" s="552">
        <v>2.9999999999999987</v>
      </c>
      <c r="AJ68" s="552">
        <v>3.9999999999999987</v>
      </c>
      <c r="AK68" s="552">
        <v>2.9999999999999987</v>
      </c>
      <c r="AL68" s="552">
        <v>2.9999999999999987</v>
      </c>
      <c r="AM68" s="552">
        <v>0</v>
      </c>
      <c r="AN68" s="552">
        <v>0</v>
      </c>
      <c r="AO68" s="552">
        <v>0</v>
      </c>
      <c r="AP68" s="552">
        <v>0</v>
      </c>
      <c r="AQ68" s="552">
        <v>0</v>
      </c>
      <c r="AR68" s="552">
        <v>0</v>
      </c>
      <c r="AS68" s="552">
        <v>0</v>
      </c>
      <c r="AT68" s="552">
        <v>15.072972972972959</v>
      </c>
      <c r="AU68" s="552">
        <v>0</v>
      </c>
      <c r="AV68" s="552">
        <v>79.518830446527929</v>
      </c>
      <c r="AW68" s="552">
        <v>0</v>
      </c>
      <c r="AX68" s="552">
        <v>0</v>
      </c>
      <c r="AY68" s="552">
        <v>0</v>
      </c>
      <c r="AZ68" s="552">
        <v>0</v>
      </c>
      <c r="BA68" s="552">
        <v>0</v>
      </c>
      <c r="BB68" s="552">
        <v>0</v>
      </c>
      <c r="BC68" s="552">
        <v>0</v>
      </c>
      <c r="BD68" s="552">
        <v>0</v>
      </c>
      <c r="BE68" s="552">
        <v>0.90900000000000003</v>
      </c>
      <c r="BF68" s="552">
        <v>0</v>
      </c>
      <c r="BG68" s="552">
        <v>0</v>
      </c>
      <c r="BH68" s="567">
        <v>0</v>
      </c>
      <c r="BI68" s="552">
        <v>0</v>
      </c>
      <c r="BJ68" s="552">
        <v>1</v>
      </c>
      <c r="BK68" s="552">
        <v>0</v>
      </c>
    </row>
    <row r="69" spans="1:63" ht="14.5" x14ac:dyDescent="0.35">
      <c r="A69" s="563">
        <v>146715</v>
      </c>
      <c r="B69" s="563">
        <v>8312629</v>
      </c>
      <c r="C69" s="564" t="s">
        <v>124</v>
      </c>
      <c r="D69" s="538" t="s">
        <v>267</v>
      </c>
      <c r="E69" s="565" t="s">
        <v>770</v>
      </c>
      <c r="F69" s="566">
        <v>1</v>
      </c>
      <c r="G69" s="552">
        <v>0</v>
      </c>
      <c r="H69" s="552">
        <v>0</v>
      </c>
      <c r="I69" s="552">
        <v>7</v>
      </c>
      <c r="J69" s="552">
        <v>0</v>
      </c>
      <c r="K69" s="552">
        <v>0</v>
      </c>
      <c r="L69" s="552">
        <v>0</v>
      </c>
      <c r="M69" s="552">
        <v>537</v>
      </c>
      <c r="N69" s="552">
        <v>537</v>
      </c>
      <c r="O69" s="552">
        <v>76</v>
      </c>
      <c r="P69" s="552">
        <v>461</v>
      </c>
      <c r="Q69" s="552">
        <v>0</v>
      </c>
      <c r="R69" s="552">
        <v>0</v>
      </c>
      <c r="S69" s="552">
        <v>0</v>
      </c>
      <c r="T69" s="552">
        <v>0</v>
      </c>
      <c r="U69" s="552">
        <v>0</v>
      </c>
      <c r="V69" s="552">
        <v>0</v>
      </c>
      <c r="W69" s="552">
        <v>0</v>
      </c>
      <c r="X69" s="552">
        <v>0</v>
      </c>
      <c r="Y69" s="552">
        <v>0</v>
      </c>
      <c r="Z69" s="552">
        <v>537</v>
      </c>
      <c r="AA69" s="552">
        <v>76.714285714285708</v>
      </c>
      <c r="AB69" s="552">
        <v>318.00000000000023</v>
      </c>
      <c r="AC69" s="552">
        <v>318.00000000000023</v>
      </c>
      <c r="AD69" s="552">
        <v>0</v>
      </c>
      <c r="AE69" s="552">
        <v>0</v>
      </c>
      <c r="AF69" s="552">
        <v>36</v>
      </c>
      <c r="AG69" s="552">
        <v>61.000000000000192</v>
      </c>
      <c r="AH69" s="552">
        <v>40.999999999999972</v>
      </c>
      <c r="AI69" s="552">
        <v>233.99999999999997</v>
      </c>
      <c r="AJ69" s="552">
        <v>149.99999999999974</v>
      </c>
      <c r="AK69" s="552">
        <v>8</v>
      </c>
      <c r="AL69" s="552">
        <v>6.9999999999999734</v>
      </c>
      <c r="AM69" s="552">
        <v>0</v>
      </c>
      <c r="AN69" s="552">
        <v>0</v>
      </c>
      <c r="AO69" s="552">
        <v>0</v>
      </c>
      <c r="AP69" s="552">
        <v>0</v>
      </c>
      <c r="AQ69" s="552">
        <v>0</v>
      </c>
      <c r="AR69" s="552">
        <v>0</v>
      </c>
      <c r="AS69" s="552">
        <v>0</v>
      </c>
      <c r="AT69" s="552">
        <v>267.91757049891515</v>
      </c>
      <c r="AU69" s="552">
        <v>0</v>
      </c>
      <c r="AV69" s="552">
        <v>239.94226226999538</v>
      </c>
      <c r="AW69" s="552">
        <v>0</v>
      </c>
      <c r="AX69" s="552">
        <v>0</v>
      </c>
      <c r="AY69" s="552">
        <v>0</v>
      </c>
      <c r="AZ69" s="552">
        <v>0</v>
      </c>
      <c r="BA69" s="552">
        <v>0</v>
      </c>
      <c r="BB69" s="552">
        <v>0</v>
      </c>
      <c r="BC69" s="552">
        <v>0</v>
      </c>
      <c r="BD69" s="552">
        <v>0</v>
      </c>
      <c r="BE69" s="552">
        <v>0.38800000000000001</v>
      </c>
      <c r="BF69" s="552">
        <v>0</v>
      </c>
      <c r="BG69" s="552">
        <v>0</v>
      </c>
      <c r="BH69" s="567">
        <v>0</v>
      </c>
      <c r="BI69" s="552">
        <v>0</v>
      </c>
      <c r="BJ69" s="552">
        <v>1</v>
      </c>
      <c r="BK69" s="552">
        <v>0</v>
      </c>
    </row>
    <row r="70" spans="1:63" ht="14.5" x14ac:dyDescent="0.35">
      <c r="A70" s="563">
        <v>146575</v>
      </c>
      <c r="B70" s="563">
        <v>8313158</v>
      </c>
      <c r="C70" s="564" t="s">
        <v>125</v>
      </c>
      <c r="D70" s="538" t="s">
        <v>267</v>
      </c>
      <c r="E70" s="565" t="s">
        <v>770</v>
      </c>
      <c r="F70" s="566">
        <v>1</v>
      </c>
      <c r="G70" s="552">
        <v>0</v>
      </c>
      <c r="H70" s="552">
        <v>0</v>
      </c>
      <c r="I70" s="552">
        <v>3</v>
      </c>
      <c r="J70" s="552">
        <v>0</v>
      </c>
      <c r="K70" s="552">
        <v>0</v>
      </c>
      <c r="L70" s="552">
        <v>0</v>
      </c>
      <c r="M70" s="552">
        <v>117</v>
      </c>
      <c r="N70" s="552">
        <v>117</v>
      </c>
      <c r="O70" s="552">
        <v>39</v>
      </c>
      <c r="P70" s="552">
        <v>78</v>
      </c>
      <c r="Q70" s="552">
        <v>0</v>
      </c>
      <c r="R70" s="552">
        <v>0</v>
      </c>
      <c r="S70" s="552">
        <v>0</v>
      </c>
      <c r="T70" s="552">
        <v>0</v>
      </c>
      <c r="U70" s="552">
        <v>0</v>
      </c>
      <c r="V70" s="552">
        <v>0</v>
      </c>
      <c r="W70" s="552">
        <v>0</v>
      </c>
      <c r="X70" s="552">
        <v>0</v>
      </c>
      <c r="Y70" s="552">
        <v>0</v>
      </c>
      <c r="Z70" s="552">
        <v>117</v>
      </c>
      <c r="AA70" s="552">
        <v>39</v>
      </c>
      <c r="AB70" s="552">
        <v>76.000000000000057</v>
      </c>
      <c r="AC70" s="552">
        <v>78.000000000000028</v>
      </c>
      <c r="AD70" s="552">
        <v>0</v>
      </c>
      <c r="AE70" s="552">
        <v>0</v>
      </c>
      <c r="AF70" s="552">
        <v>4.0000000000000009</v>
      </c>
      <c r="AG70" s="552">
        <v>2.9999999999999951</v>
      </c>
      <c r="AH70" s="552">
        <v>34.999999999999986</v>
      </c>
      <c r="AI70" s="552">
        <v>49.000000000000021</v>
      </c>
      <c r="AJ70" s="552">
        <v>21.999999999999996</v>
      </c>
      <c r="AK70" s="552">
        <v>2.9999999999999951</v>
      </c>
      <c r="AL70" s="552">
        <v>1.0000000000000002</v>
      </c>
      <c r="AM70" s="552">
        <v>0</v>
      </c>
      <c r="AN70" s="552">
        <v>0</v>
      </c>
      <c r="AO70" s="552">
        <v>0</v>
      </c>
      <c r="AP70" s="552">
        <v>0</v>
      </c>
      <c r="AQ70" s="552">
        <v>0</v>
      </c>
      <c r="AR70" s="552">
        <v>0</v>
      </c>
      <c r="AS70" s="552">
        <v>0</v>
      </c>
      <c r="AT70" s="552">
        <v>106.49999999999997</v>
      </c>
      <c r="AU70" s="552">
        <v>0</v>
      </c>
      <c r="AV70" s="552">
        <v>65.590909090909065</v>
      </c>
      <c r="AW70" s="552">
        <v>0</v>
      </c>
      <c r="AX70" s="552">
        <v>0</v>
      </c>
      <c r="AY70" s="552">
        <v>0</v>
      </c>
      <c r="AZ70" s="552">
        <v>0</v>
      </c>
      <c r="BA70" s="552">
        <v>0</v>
      </c>
      <c r="BB70" s="552">
        <v>0</v>
      </c>
      <c r="BC70" s="552">
        <v>4.0344827586207464E-2</v>
      </c>
      <c r="BD70" s="552">
        <v>0</v>
      </c>
      <c r="BE70" s="552">
        <v>0.26300000000000001</v>
      </c>
      <c r="BF70" s="552">
        <v>0</v>
      </c>
      <c r="BG70" s="552">
        <v>0</v>
      </c>
      <c r="BH70" s="567">
        <v>0</v>
      </c>
      <c r="BI70" s="552">
        <v>0</v>
      </c>
      <c r="BJ70" s="552">
        <v>1</v>
      </c>
      <c r="BK70" s="552">
        <v>0</v>
      </c>
    </row>
    <row r="71" spans="1:63" ht="14.5" x14ac:dyDescent="0.35">
      <c r="A71" s="563">
        <v>146140</v>
      </c>
      <c r="B71" s="563">
        <v>8313528</v>
      </c>
      <c r="C71" s="564" t="s">
        <v>126</v>
      </c>
      <c r="D71" s="538" t="s">
        <v>267</v>
      </c>
      <c r="E71" s="565" t="s">
        <v>770</v>
      </c>
      <c r="F71" s="566">
        <v>1</v>
      </c>
      <c r="G71" s="552">
        <v>0</v>
      </c>
      <c r="H71" s="552">
        <v>0</v>
      </c>
      <c r="I71" s="552">
        <v>7</v>
      </c>
      <c r="J71" s="552">
        <v>0</v>
      </c>
      <c r="K71" s="552">
        <v>0</v>
      </c>
      <c r="L71" s="552">
        <v>0</v>
      </c>
      <c r="M71" s="552">
        <v>350</v>
      </c>
      <c r="N71" s="552">
        <v>350</v>
      </c>
      <c r="O71" s="552">
        <v>43</v>
      </c>
      <c r="P71" s="552">
        <v>307</v>
      </c>
      <c r="Q71" s="552">
        <v>0</v>
      </c>
      <c r="R71" s="552">
        <v>0</v>
      </c>
      <c r="S71" s="552">
        <v>0</v>
      </c>
      <c r="T71" s="552">
        <v>0</v>
      </c>
      <c r="U71" s="552">
        <v>0</v>
      </c>
      <c r="V71" s="552">
        <v>0</v>
      </c>
      <c r="W71" s="552">
        <v>0</v>
      </c>
      <c r="X71" s="552">
        <v>0</v>
      </c>
      <c r="Y71" s="552">
        <v>0</v>
      </c>
      <c r="Z71" s="552">
        <v>350</v>
      </c>
      <c r="AA71" s="552">
        <v>50</v>
      </c>
      <c r="AB71" s="552">
        <v>87.999999999999844</v>
      </c>
      <c r="AC71" s="552">
        <v>87.999999999999844</v>
      </c>
      <c r="AD71" s="552">
        <v>0</v>
      </c>
      <c r="AE71" s="552">
        <v>0</v>
      </c>
      <c r="AF71" s="552">
        <v>126.0806916426512</v>
      </c>
      <c r="AG71" s="552">
        <v>87.75216138328534</v>
      </c>
      <c r="AH71" s="552">
        <v>59.510086455331397</v>
      </c>
      <c r="AI71" s="552">
        <v>16.138328530259354</v>
      </c>
      <c r="AJ71" s="552">
        <v>19.164265129682995</v>
      </c>
      <c r="AK71" s="552">
        <v>19.164265129682995</v>
      </c>
      <c r="AL71" s="552">
        <v>22.190201729106633</v>
      </c>
      <c r="AM71" s="552">
        <v>0</v>
      </c>
      <c r="AN71" s="552">
        <v>0</v>
      </c>
      <c r="AO71" s="552">
        <v>0</v>
      </c>
      <c r="AP71" s="552">
        <v>0</v>
      </c>
      <c r="AQ71" s="552">
        <v>0</v>
      </c>
      <c r="AR71" s="552">
        <v>0</v>
      </c>
      <c r="AS71" s="552">
        <v>0</v>
      </c>
      <c r="AT71" s="552">
        <v>150.48859934853431</v>
      </c>
      <c r="AU71" s="552">
        <v>0</v>
      </c>
      <c r="AV71" s="552">
        <v>115.63127612223852</v>
      </c>
      <c r="AW71" s="552">
        <v>0</v>
      </c>
      <c r="AX71" s="552">
        <v>0</v>
      </c>
      <c r="AY71" s="552">
        <v>0</v>
      </c>
      <c r="AZ71" s="552">
        <v>0</v>
      </c>
      <c r="BA71" s="552">
        <v>0</v>
      </c>
      <c r="BB71" s="552">
        <v>0</v>
      </c>
      <c r="BC71" s="552">
        <v>30.000000000000096</v>
      </c>
      <c r="BD71" s="552">
        <v>0</v>
      </c>
      <c r="BE71" s="552">
        <v>0.78300000000000003</v>
      </c>
      <c r="BF71" s="552">
        <v>0</v>
      </c>
      <c r="BG71" s="552">
        <v>0</v>
      </c>
      <c r="BH71" s="567">
        <v>0</v>
      </c>
      <c r="BI71" s="552">
        <v>0</v>
      </c>
      <c r="BJ71" s="552">
        <v>1</v>
      </c>
      <c r="BK71" s="552">
        <v>0</v>
      </c>
    </row>
    <row r="72" spans="1:63" ht="14.5" x14ac:dyDescent="0.35">
      <c r="A72" s="563">
        <v>142752</v>
      </c>
      <c r="B72" s="563">
        <v>8313530</v>
      </c>
      <c r="C72" s="564" t="s">
        <v>127</v>
      </c>
      <c r="D72" s="538" t="s">
        <v>267</v>
      </c>
      <c r="E72" s="565" t="s">
        <v>770</v>
      </c>
      <c r="F72" s="566">
        <v>1</v>
      </c>
      <c r="G72" s="552">
        <v>0</v>
      </c>
      <c r="H72" s="552">
        <v>0</v>
      </c>
      <c r="I72" s="552">
        <v>7</v>
      </c>
      <c r="J72" s="552">
        <v>0</v>
      </c>
      <c r="K72" s="552">
        <v>0</v>
      </c>
      <c r="L72" s="552">
        <v>0</v>
      </c>
      <c r="M72" s="552">
        <v>404</v>
      </c>
      <c r="N72" s="552">
        <v>404</v>
      </c>
      <c r="O72" s="552">
        <v>55</v>
      </c>
      <c r="P72" s="552">
        <v>349</v>
      </c>
      <c r="Q72" s="552">
        <v>0</v>
      </c>
      <c r="R72" s="552">
        <v>0</v>
      </c>
      <c r="S72" s="552">
        <v>0</v>
      </c>
      <c r="T72" s="552">
        <v>0</v>
      </c>
      <c r="U72" s="552">
        <v>0</v>
      </c>
      <c r="V72" s="552">
        <v>0</v>
      </c>
      <c r="W72" s="552">
        <v>0</v>
      </c>
      <c r="X72" s="552">
        <v>0</v>
      </c>
      <c r="Y72" s="552">
        <v>0</v>
      </c>
      <c r="Z72" s="552">
        <v>404</v>
      </c>
      <c r="AA72" s="552">
        <v>57.714285714285715</v>
      </c>
      <c r="AB72" s="552">
        <v>18.999999999999989</v>
      </c>
      <c r="AC72" s="552">
        <v>18.999999999999989</v>
      </c>
      <c r="AD72" s="552">
        <v>0</v>
      </c>
      <c r="AE72" s="552">
        <v>0</v>
      </c>
      <c r="AF72" s="552">
        <v>363.00000000000017</v>
      </c>
      <c r="AG72" s="552">
        <v>18.000000000000018</v>
      </c>
      <c r="AH72" s="552">
        <v>9.0000000000000089</v>
      </c>
      <c r="AI72" s="552">
        <v>3.0000000000000018</v>
      </c>
      <c r="AJ72" s="552">
        <v>6.9999999999999893</v>
      </c>
      <c r="AK72" s="552">
        <v>1.9999999999999998</v>
      </c>
      <c r="AL72" s="552">
        <v>1.9999999999999998</v>
      </c>
      <c r="AM72" s="552">
        <v>0</v>
      </c>
      <c r="AN72" s="552">
        <v>0</v>
      </c>
      <c r="AO72" s="552">
        <v>0</v>
      </c>
      <c r="AP72" s="552">
        <v>0</v>
      </c>
      <c r="AQ72" s="552">
        <v>0</v>
      </c>
      <c r="AR72" s="552">
        <v>0</v>
      </c>
      <c r="AS72" s="552">
        <v>0</v>
      </c>
      <c r="AT72" s="552">
        <v>6.9455587392550155</v>
      </c>
      <c r="AU72" s="552">
        <v>0</v>
      </c>
      <c r="AV72" s="552">
        <v>64.528781253244972</v>
      </c>
      <c r="AW72" s="552">
        <v>0</v>
      </c>
      <c r="AX72" s="552">
        <v>0</v>
      </c>
      <c r="AY72" s="552">
        <v>0</v>
      </c>
      <c r="AZ72" s="552">
        <v>0</v>
      </c>
      <c r="BA72" s="552">
        <v>0</v>
      </c>
      <c r="BB72" s="552">
        <v>0</v>
      </c>
      <c r="BC72" s="552">
        <v>0</v>
      </c>
      <c r="BD72" s="552">
        <v>0</v>
      </c>
      <c r="BE72" s="552">
        <v>0.747</v>
      </c>
      <c r="BF72" s="552">
        <v>0</v>
      </c>
      <c r="BG72" s="552">
        <v>0</v>
      </c>
      <c r="BH72" s="567">
        <v>0</v>
      </c>
      <c r="BI72" s="552">
        <v>0</v>
      </c>
      <c r="BJ72" s="552">
        <v>1</v>
      </c>
      <c r="BK72" s="552">
        <v>0</v>
      </c>
    </row>
    <row r="73" spans="1:63" ht="14.5" x14ac:dyDescent="0.35">
      <c r="A73" s="563">
        <v>138666</v>
      </c>
      <c r="B73" s="563">
        <v>8313531</v>
      </c>
      <c r="C73" s="564" t="s">
        <v>128</v>
      </c>
      <c r="D73" s="538" t="s">
        <v>267</v>
      </c>
      <c r="E73" s="565" t="s">
        <v>770</v>
      </c>
      <c r="F73" s="566">
        <v>1</v>
      </c>
      <c r="G73" s="552">
        <v>0</v>
      </c>
      <c r="H73" s="552">
        <v>0</v>
      </c>
      <c r="I73" s="552">
        <v>7</v>
      </c>
      <c r="J73" s="552">
        <v>0</v>
      </c>
      <c r="K73" s="552">
        <v>0</v>
      </c>
      <c r="L73" s="552">
        <v>0</v>
      </c>
      <c r="M73" s="552">
        <v>337</v>
      </c>
      <c r="N73" s="552">
        <v>337</v>
      </c>
      <c r="O73" s="552">
        <v>44</v>
      </c>
      <c r="P73" s="552">
        <v>293</v>
      </c>
      <c r="Q73" s="552">
        <v>0</v>
      </c>
      <c r="R73" s="552">
        <v>0</v>
      </c>
      <c r="S73" s="552">
        <v>0</v>
      </c>
      <c r="T73" s="552">
        <v>0</v>
      </c>
      <c r="U73" s="552">
        <v>0</v>
      </c>
      <c r="V73" s="552">
        <v>0</v>
      </c>
      <c r="W73" s="552">
        <v>0</v>
      </c>
      <c r="X73" s="552">
        <v>0</v>
      </c>
      <c r="Y73" s="552">
        <v>0</v>
      </c>
      <c r="Z73" s="552">
        <v>337</v>
      </c>
      <c r="AA73" s="552">
        <v>48.142857142857146</v>
      </c>
      <c r="AB73" s="552">
        <v>75.000000000000071</v>
      </c>
      <c r="AC73" s="552">
        <v>77</v>
      </c>
      <c r="AD73" s="552">
        <v>0</v>
      </c>
      <c r="AE73" s="552">
        <v>0</v>
      </c>
      <c r="AF73" s="552">
        <v>211.00000000000003</v>
      </c>
      <c r="AG73" s="552">
        <v>0.99999999999999867</v>
      </c>
      <c r="AH73" s="552">
        <v>48.999999999999972</v>
      </c>
      <c r="AI73" s="552">
        <v>15.000000000000016</v>
      </c>
      <c r="AJ73" s="552">
        <v>16.000000000000011</v>
      </c>
      <c r="AK73" s="552">
        <v>36.000000000000085</v>
      </c>
      <c r="AL73" s="552">
        <v>8.9999999999999876</v>
      </c>
      <c r="AM73" s="552">
        <v>0</v>
      </c>
      <c r="AN73" s="552">
        <v>0</v>
      </c>
      <c r="AO73" s="552">
        <v>0</v>
      </c>
      <c r="AP73" s="552">
        <v>0</v>
      </c>
      <c r="AQ73" s="552">
        <v>0</v>
      </c>
      <c r="AR73" s="552">
        <v>0</v>
      </c>
      <c r="AS73" s="552">
        <v>0</v>
      </c>
      <c r="AT73" s="552">
        <v>75.911262798634908</v>
      </c>
      <c r="AU73" s="552">
        <v>0</v>
      </c>
      <c r="AV73" s="552">
        <v>77.367918313570499</v>
      </c>
      <c r="AW73" s="552">
        <v>0</v>
      </c>
      <c r="AX73" s="552">
        <v>0</v>
      </c>
      <c r="AY73" s="552">
        <v>0</v>
      </c>
      <c r="AZ73" s="552">
        <v>0</v>
      </c>
      <c r="BA73" s="552">
        <v>0</v>
      </c>
      <c r="BB73" s="552">
        <v>0</v>
      </c>
      <c r="BC73" s="552">
        <v>7.7799999999999994</v>
      </c>
      <c r="BD73" s="552">
        <v>0</v>
      </c>
      <c r="BE73" s="552">
        <v>0.67300000000000004</v>
      </c>
      <c r="BF73" s="552">
        <v>0</v>
      </c>
      <c r="BG73" s="552">
        <v>0</v>
      </c>
      <c r="BH73" s="567">
        <v>0</v>
      </c>
      <c r="BI73" s="552">
        <v>0</v>
      </c>
      <c r="BJ73" s="552">
        <v>1</v>
      </c>
      <c r="BK73" s="552">
        <v>0</v>
      </c>
    </row>
    <row r="74" spans="1:63" ht="14.5" x14ac:dyDescent="0.35">
      <c r="A74" s="563">
        <v>147490</v>
      </c>
      <c r="B74" s="563">
        <v>8313532</v>
      </c>
      <c r="C74" s="564" t="s">
        <v>129</v>
      </c>
      <c r="D74" s="538" t="s">
        <v>267</v>
      </c>
      <c r="E74" s="565" t="s">
        <v>770</v>
      </c>
      <c r="F74" s="566">
        <v>1</v>
      </c>
      <c r="G74" s="552">
        <v>0</v>
      </c>
      <c r="H74" s="552">
        <v>0</v>
      </c>
      <c r="I74" s="552">
        <v>7</v>
      </c>
      <c r="J74" s="552">
        <v>0</v>
      </c>
      <c r="K74" s="552">
        <v>0</v>
      </c>
      <c r="L74" s="552">
        <v>0</v>
      </c>
      <c r="M74" s="552">
        <v>290</v>
      </c>
      <c r="N74" s="552">
        <v>290</v>
      </c>
      <c r="O74" s="552">
        <v>38</v>
      </c>
      <c r="P74" s="552">
        <v>252</v>
      </c>
      <c r="Q74" s="552">
        <v>0</v>
      </c>
      <c r="R74" s="552">
        <v>0</v>
      </c>
      <c r="S74" s="552">
        <v>0</v>
      </c>
      <c r="T74" s="552">
        <v>0</v>
      </c>
      <c r="U74" s="552">
        <v>0</v>
      </c>
      <c r="V74" s="552">
        <v>0</v>
      </c>
      <c r="W74" s="552">
        <v>0</v>
      </c>
      <c r="X74" s="552">
        <v>0</v>
      </c>
      <c r="Y74" s="552">
        <v>0</v>
      </c>
      <c r="Z74" s="552">
        <v>290</v>
      </c>
      <c r="AA74" s="552">
        <v>41.428571428571431</v>
      </c>
      <c r="AB74" s="552">
        <v>47.999999999999901</v>
      </c>
      <c r="AC74" s="552">
        <v>48.999999999999915</v>
      </c>
      <c r="AD74" s="552">
        <v>0</v>
      </c>
      <c r="AE74" s="552">
        <v>0</v>
      </c>
      <c r="AF74" s="552">
        <v>204.00000000000003</v>
      </c>
      <c r="AG74" s="552">
        <v>58</v>
      </c>
      <c r="AH74" s="552">
        <v>9.0000000000000036</v>
      </c>
      <c r="AI74" s="552">
        <v>4.0000000000000107</v>
      </c>
      <c r="AJ74" s="552">
        <v>10.000000000000014</v>
      </c>
      <c r="AK74" s="552">
        <v>4.999999999999992</v>
      </c>
      <c r="AL74" s="552">
        <v>0</v>
      </c>
      <c r="AM74" s="552">
        <v>0</v>
      </c>
      <c r="AN74" s="552">
        <v>0</v>
      </c>
      <c r="AO74" s="552">
        <v>0</v>
      </c>
      <c r="AP74" s="552">
        <v>0</v>
      </c>
      <c r="AQ74" s="552">
        <v>0</v>
      </c>
      <c r="AR74" s="552">
        <v>0</v>
      </c>
      <c r="AS74" s="552">
        <v>0</v>
      </c>
      <c r="AT74" s="552">
        <v>8.1526104417670719</v>
      </c>
      <c r="AU74" s="552">
        <v>0</v>
      </c>
      <c r="AV74" s="552">
        <v>74.559081346423568</v>
      </c>
      <c r="AW74" s="552">
        <v>0</v>
      </c>
      <c r="AX74" s="552">
        <v>0</v>
      </c>
      <c r="AY74" s="552">
        <v>0</v>
      </c>
      <c r="AZ74" s="552">
        <v>0</v>
      </c>
      <c r="BA74" s="552">
        <v>0</v>
      </c>
      <c r="BB74" s="552">
        <v>0</v>
      </c>
      <c r="BC74" s="552">
        <v>0</v>
      </c>
      <c r="BD74" s="552">
        <v>0</v>
      </c>
      <c r="BE74" s="552">
        <v>0.66100000000000003</v>
      </c>
      <c r="BF74" s="552">
        <v>0</v>
      </c>
      <c r="BG74" s="552">
        <v>0</v>
      </c>
      <c r="BH74" s="567">
        <v>0</v>
      </c>
      <c r="BI74" s="552">
        <v>0</v>
      </c>
      <c r="BJ74" s="552">
        <v>1</v>
      </c>
      <c r="BK74" s="552">
        <v>0</v>
      </c>
    </row>
    <row r="75" spans="1:63" ht="14.5" x14ac:dyDescent="0.35">
      <c r="A75" s="563">
        <v>148368</v>
      </c>
      <c r="B75" s="563">
        <v>8313535</v>
      </c>
      <c r="C75" s="564" t="s">
        <v>130</v>
      </c>
      <c r="D75" s="538" t="s">
        <v>267</v>
      </c>
      <c r="E75" s="565" t="s">
        <v>770</v>
      </c>
      <c r="F75" s="566">
        <v>1</v>
      </c>
      <c r="G75" s="552">
        <v>0</v>
      </c>
      <c r="H75" s="552">
        <v>0</v>
      </c>
      <c r="I75" s="552">
        <v>4</v>
      </c>
      <c r="J75" s="552">
        <v>0</v>
      </c>
      <c r="K75" s="552">
        <v>0</v>
      </c>
      <c r="L75" s="552">
        <v>0</v>
      </c>
      <c r="M75" s="552">
        <v>297</v>
      </c>
      <c r="N75" s="552">
        <v>297</v>
      </c>
      <c r="O75" s="552">
        <v>0</v>
      </c>
      <c r="P75" s="552">
        <v>297</v>
      </c>
      <c r="Q75" s="552">
        <v>0</v>
      </c>
      <c r="R75" s="552">
        <v>0</v>
      </c>
      <c r="S75" s="552">
        <v>0</v>
      </c>
      <c r="T75" s="552">
        <v>0</v>
      </c>
      <c r="U75" s="552">
        <v>0</v>
      </c>
      <c r="V75" s="552">
        <v>0</v>
      </c>
      <c r="W75" s="552">
        <v>0</v>
      </c>
      <c r="X75" s="552">
        <v>0</v>
      </c>
      <c r="Y75" s="552">
        <v>0</v>
      </c>
      <c r="Z75" s="552">
        <v>297</v>
      </c>
      <c r="AA75" s="552">
        <v>74.25</v>
      </c>
      <c r="AB75" s="552">
        <v>174.00000000000003</v>
      </c>
      <c r="AC75" s="552">
        <v>176.00000000000011</v>
      </c>
      <c r="AD75" s="552">
        <v>0</v>
      </c>
      <c r="AE75" s="552">
        <v>0</v>
      </c>
      <c r="AF75" s="552">
        <v>9</v>
      </c>
      <c r="AG75" s="552">
        <v>49.999999999999893</v>
      </c>
      <c r="AH75" s="552">
        <v>65.000000000000043</v>
      </c>
      <c r="AI75" s="552">
        <v>82.999999999999872</v>
      </c>
      <c r="AJ75" s="552">
        <v>49.999999999999893</v>
      </c>
      <c r="AK75" s="552">
        <v>7.0000000000000098</v>
      </c>
      <c r="AL75" s="552">
        <v>32.999999999999964</v>
      </c>
      <c r="AM75" s="552">
        <v>0</v>
      </c>
      <c r="AN75" s="552">
        <v>0</v>
      </c>
      <c r="AO75" s="552">
        <v>0</v>
      </c>
      <c r="AP75" s="552">
        <v>0</v>
      </c>
      <c r="AQ75" s="552">
        <v>0</v>
      </c>
      <c r="AR75" s="552">
        <v>0</v>
      </c>
      <c r="AS75" s="552">
        <v>0</v>
      </c>
      <c r="AT75" s="552">
        <v>84.000000000000043</v>
      </c>
      <c r="AU75" s="552">
        <v>0</v>
      </c>
      <c r="AV75" s="552">
        <v>109.97572736188295</v>
      </c>
      <c r="AW75" s="552">
        <v>0</v>
      </c>
      <c r="AX75" s="552">
        <v>0</v>
      </c>
      <c r="AY75" s="552">
        <v>0</v>
      </c>
      <c r="AZ75" s="552">
        <v>0</v>
      </c>
      <c r="BA75" s="552">
        <v>0</v>
      </c>
      <c r="BB75" s="552">
        <v>0</v>
      </c>
      <c r="BC75" s="552">
        <v>2.1799999999999877</v>
      </c>
      <c r="BD75" s="552">
        <v>0</v>
      </c>
      <c r="BE75" s="552">
        <v>0.52600000000000002</v>
      </c>
      <c r="BF75" s="552">
        <v>0</v>
      </c>
      <c r="BG75" s="552">
        <v>0</v>
      </c>
      <c r="BH75" s="567">
        <v>0</v>
      </c>
      <c r="BI75" s="552">
        <v>0</v>
      </c>
      <c r="BJ75" s="552">
        <v>1</v>
      </c>
      <c r="BK75" s="552">
        <v>0</v>
      </c>
    </row>
    <row r="76" spans="1:63" ht="14.5" x14ac:dyDescent="0.35">
      <c r="A76" s="563">
        <v>146104</v>
      </c>
      <c r="B76" s="563">
        <v>8313542</v>
      </c>
      <c r="C76" s="564" t="s">
        <v>131</v>
      </c>
      <c r="D76" s="538" t="s">
        <v>267</v>
      </c>
      <c r="E76" s="565" t="s">
        <v>770</v>
      </c>
      <c r="F76" s="566">
        <v>1</v>
      </c>
      <c r="G76" s="552">
        <v>0</v>
      </c>
      <c r="H76" s="552">
        <v>0</v>
      </c>
      <c r="I76" s="552">
        <v>7</v>
      </c>
      <c r="J76" s="552">
        <v>0</v>
      </c>
      <c r="K76" s="552">
        <v>0</v>
      </c>
      <c r="L76" s="552">
        <v>0</v>
      </c>
      <c r="M76" s="552">
        <v>381</v>
      </c>
      <c r="N76" s="552">
        <v>381</v>
      </c>
      <c r="O76" s="552">
        <v>50</v>
      </c>
      <c r="P76" s="552">
        <v>331</v>
      </c>
      <c r="Q76" s="552">
        <v>0</v>
      </c>
      <c r="R76" s="552">
        <v>0</v>
      </c>
      <c r="S76" s="552">
        <v>0</v>
      </c>
      <c r="T76" s="552">
        <v>0</v>
      </c>
      <c r="U76" s="552">
        <v>0</v>
      </c>
      <c r="V76" s="552">
        <v>0</v>
      </c>
      <c r="W76" s="552">
        <v>0</v>
      </c>
      <c r="X76" s="552">
        <v>0</v>
      </c>
      <c r="Y76" s="552">
        <v>0</v>
      </c>
      <c r="Z76" s="552">
        <v>381</v>
      </c>
      <c r="AA76" s="552">
        <v>54.428571428571431</v>
      </c>
      <c r="AB76" s="552">
        <v>72.000000000000028</v>
      </c>
      <c r="AC76" s="552">
        <v>72.999999999999844</v>
      </c>
      <c r="AD76" s="552">
        <v>0</v>
      </c>
      <c r="AE76" s="552">
        <v>0</v>
      </c>
      <c r="AF76" s="552">
        <v>94.000000000000057</v>
      </c>
      <c r="AG76" s="552">
        <v>24.000000000000011</v>
      </c>
      <c r="AH76" s="552">
        <v>114.99999999999987</v>
      </c>
      <c r="AI76" s="552">
        <v>42.000000000000021</v>
      </c>
      <c r="AJ76" s="552">
        <v>56.000000000000028</v>
      </c>
      <c r="AK76" s="552">
        <v>37.000000000000021</v>
      </c>
      <c r="AL76" s="552">
        <v>13.000000000000007</v>
      </c>
      <c r="AM76" s="552">
        <v>0</v>
      </c>
      <c r="AN76" s="552">
        <v>0</v>
      </c>
      <c r="AO76" s="552">
        <v>0</v>
      </c>
      <c r="AP76" s="552">
        <v>0</v>
      </c>
      <c r="AQ76" s="552">
        <v>0</v>
      </c>
      <c r="AR76" s="552">
        <v>0</v>
      </c>
      <c r="AS76" s="552">
        <v>0</v>
      </c>
      <c r="AT76" s="552">
        <v>152.4</v>
      </c>
      <c r="AU76" s="552">
        <v>0</v>
      </c>
      <c r="AV76" s="552">
        <v>98.745180482616476</v>
      </c>
      <c r="AW76" s="552">
        <v>0</v>
      </c>
      <c r="AX76" s="552">
        <v>0</v>
      </c>
      <c r="AY76" s="552">
        <v>0</v>
      </c>
      <c r="AZ76" s="552">
        <v>0</v>
      </c>
      <c r="BA76" s="552">
        <v>0</v>
      </c>
      <c r="BB76" s="552">
        <v>0</v>
      </c>
      <c r="BC76" s="552">
        <v>0</v>
      </c>
      <c r="BD76" s="552">
        <v>0</v>
      </c>
      <c r="BE76" s="552">
        <v>0.39900000000000002</v>
      </c>
      <c r="BF76" s="552">
        <v>0</v>
      </c>
      <c r="BG76" s="552">
        <v>0</v>
      </c>
      <c r="BH76" s="567">
        <v>0</v>
      </c>
      <c r="BI76" s="552">
        <v>0</v>
      </c>
      <c r="BJ76" s="552">
        <v>1</v>
      </c>
      <c r="BK76" s="552">
        <v>0</v>
      </c>
    </row>
    <row r="77" spans="1:63" ht="14.5" x14ac:dyDescent="0.35">
      <c r="A77" s="563">
        <v>146253</v>
      </c>
      <c r="B77" s="563">
        <v>8313543</v>
      </c>
      <c r="C77" s="564" t="s">
        <v>132</v>
      </c>
      <c r="D77" s="538" t="s">
        <v>267</v>
      </c>
      <c r="E77" s="565" t="s">
        <v>770</v>
      </c>
      <c r="F77" s="566">
        <v>1</v>
      </c>
      <c r="G77" s="552">
        <v>0</v>
      </c>
      <c r="H77" s="552">
        <v>0</v>
      </c>
      <c r="I77" s="552">
        <v>7</v>
      </c>
      <c r="J77" s="552">
        <v>0</v>
      </c>
      <c r="K77" s="552">
        <v>0</v>
      </c>
      <c r="L77" s="552">
        <v>0</v>
      </c>
      <c r="M77" s="552">
        <v>302</v>
      </c>
      <c r="N77" s="552">
        <v>302</v>
      </c>
      <c r="O77" s="552">
        <v>39</v>
      </c>
      <c r="P77" s="552">
        <v>263</v>
      </c>
      <c r="Q77" s="552">
        <v>0</v>
      </c>
      <c r="R77" s="552">
        <v>0</v>
      </c>
      <c r="S77" s="552">
        <v>0</v>
      </c>
      <c r="T77" s="552">
        <v>0</v>
      </c>
      <c r="U77" s="552">
        <v>0</v>
      </c>
      <c r="V77" s="552">
        <v>0</v>
      </c>
      <c r="W77" s="552">
        <v>0</v>
      </c>
      <c r="X77" s="552">
        <v>0</v>
      </c>
      <c r="Y77" s="552">
        <v>0</v>
      </c>
      <c r="Z77" s="552">
        <v>302</v>
      </c>
      <c r="AA77" s="552">
        <v>43.142857142857146</v>
      </c>
      <c r="AB77" s="552">
        <v>44.999999999999915</v>
      </c>
      <c r="AC77" s="552">
        <v>46</v>
      </c>
      <c r="AD77" s="552">
        <v>0</v>
      </c>
      <c r="AE77" s="552">
        <v>0</v>
      </c>
      <c r="AF77" s="552">
        <v>153.99999999999997</v>
      </c>
      <c r="AG77" s="552">
        <v>58.999999999999993</v>
      </c>
      <c r="AH77" s="552">
        <v>30.000000000000011</v>
      </c>
      <c r="AI77" s="552">
        <v>15.999999999999991</v>
      </c>
      <c r="AJ77" s="552">
        <v>8.0000000000000107</v>
      </c>
      <c r="AK77" s="552">
        <v>21</v>
      </c>
      <c r="AL77" s="552">
        <v>13.999999999999989</v>
      </c>
      <c r="AM77" s="552">
        <v>0</v>
      </c>
      <c r="AN77" s="552">
        <v>0</v>
      </c>
      <c r="AO77" s="552">
        <v>0</v>
      </c>
      <c r="AP77" s="552">
        <v>0</v>
      </c>
      <c r="AQ77" s="552">
        <v>0</v>
      </c>
      <c r="AR77" s="552">
        <v>0</v>
      </c>
      <c r="AS77" s="552">
        <v>0</v>
      </c>
      <c r="AT77" s="552">
        <v>34.448669201520978</v>
      </c>
      <c r="AU77" s="552">
        <v>0</v>
      </c>
      <c r="AV77" s="552">
        <v>89.46161347782386</v>
      </c>
      <c r="AW77" s="552">
        <v>0</v>
      </c>
      <c r="AX77" s="552">
        <v>0</v>
      </c>
      <c r="AY77" s="552">
        <v>0</v>
      </c>
      <c r="AZ77" s="552">
        <v>0</v>
      </c>
      <c r="BA77" s="552">
        <v>0</v>
      </c>
      <c r="BB77" s="552">
        <v>0</v>
      </c>
      <c r="BC77" s="552">
        <v>0</v>
      </c>
      <c r="BD77" s="552">
        <v>0</v>
      </c>
      <c r="BE77" s="552">
        <v>0.76100000000000001</v>
      </c>
      <c r="BF77" s="552">
        <v>0</v>
      </c>
      <c r="BG77" s="552">
        <v>0</v>
      </c>
      <c r="BH77" s="567">
        <v>0</v>
      </c>
      <c r="BI77" s="552">
        <v>0</v>
      </c>
      <c r="BJ77" s="552">
        <v>1</v>
      </c>
      <c r="BK77" s="552">
        <v>0</v>
      </c>
    </row>
    <row r="78" spans="1:63" ht="14.5" x14ac:dyDescent="0.35">
      <c r="A78" s="563">
        <v>143875</v>
      </c>
      <c r="B78" s="563">
        <v>8313544</v>
      </c>
      <c r="C78" s="564" t="s">
        <v>133</v>
      </c>
      <c r="D78" s="538" t="s">
        <v>267</v>
      </c>
      <c r="E78" s="565" t="s">
        <v>770</v>
      </c>
      <c r="F78" s="566">
        <v>1</v>
      </c>
      <c r="G78" s="552">
        <v>0</v>
      </c>
      <c r="H78" s="552">
        <v>0</v>
      </c>
      <c r="I78" s="552">
        <v>7</v>
      </c>
      <c r="J78" s="552">
        <v>0</v>
      </c>
      <c r="K78" s="552">
        <v>0</v>
      </c>
      <c r="L78" s="552">
        <v>0</v>
      </c>
      <c r="M78" s="552">
        <v>536</v>
      </c>
      <c r="N78" s="552">
        <v>536</v>
      </c>
      <c r="O78" s="552">
        <v>59</v>
      </c>
      <c r="P78" s="552">
        <v>477</v>
      </c>
      <c r="Q78" s="552">
        <v>0</v>
      </c>
      <c r="R78" s="552">
        <v>0</v>
      </c>
      <c r="S78" s="552">
        <v>0</v>
      </c>
      <c r="T78" s="552">
        <v>0</v>
      </c>
      <c r="U78" s="552">
        <v>0</v>
      </c>
      <c r="V78" s="552">
        <v>0</v>
      </c>
      <c r="W78" s="552">
        <v>0</v>
      </c>
      <c r="X78" s="552">
        <v>0</v>
      </c>
      <c r="Y78" s="552">
        <v>0</v>
      </c>
      <c r="Z78" s="552">
        <v>536</v>
      </c>
      <c r="AA78" s="552">
        <v>76.571428571428569</v>
      </c>
      <c r="AB78" s="552">
        <v>339.99999999999983</v>
      </c>
      <c r="AC78" s="552">
        <v>341.99999999999983</v>
      </c>
      <c r="AD78" s="552">
        <v>0</v>
      </c>
      <c r="AE78" s="552">
        <v>0</v>
      </c>
      <c r="AF78" s="552">
        <v>15.999999999999991</v>
      </c>
      <c r="AG78" s="552">
        <v>11.99999999999998</v>
      </c>
      <c r="AH78" s="552">
        <v>37.000000000000028</v>
      </c>
      <c r="AI78" s="552">
        <v>246</v>
      </c>
      <c r="AJ78" s="552">
        <v>216.00000000000017</v>
      </c>
      <c r="AK78" s="552">
        <v>8.0000000000000213</v>
      </c>
      <c r="AL78" s="552">
        <v>0.99999999999999745</v>
      </c>
      <c r="AM78" s="552">
        <v>0</v>
      </c>
      <c r="AN78" s="552">
        <v>0</v>
      </c>
      <c r="AO78" s="552">
        <v>0</v>
      </c>
      <c r="AP78" s="552">
        <v>0</v>
      </c>
      <c r="AQ78" s="552">
        <v>0</v>
      </c>
      <c r="AR78" s="552">
        <v>0</v>
      </c>
      <c r="AS78" s="552">
        <v>0</v>
      </c>
      <c r="AT78" s="552">
        <v>235.97484276729557</v>
      </c>
      <c r="AU78" s="552">
        <v>0</v>
      </c>
      <c r="AV78" s="552">
        <v>256.90259450694225</v>
      </c>
      <c r="AW78" s="552">
        <v>0</v>
      </c>
      <c r="AX78" s="552">
        <v>0</v>
      </c>
      <c r="AY78" s="552">
        <v>0</v>
      </c>
      <c r="AZ78" s="552">
        <v>0</v>
      </c>
      <c r="BA78" s="552">
        <v>0</v>
      </c>
      <c r="BB78" s="552">
        <v>0</v>
      </c>
      <c r="BC78" s="552">
        <v>5.911028037383196</v>
      </c>
      <c r="BD78" s="552">
        <v>0</v>
      </c>
      <c r="BE78" s="552">
        <v>0.35</v>
      </c>
      <c r="BF78" s="552">
        <v>0</v>
      </c>
      <c r="BG78" s="552">
        <v>0</v>
      </c>
      <c r="BH78" s="567">
        <v>0</v>
      </c>
      <c r="BI78" s="552">
        <v>0</v>
      </c>
      <c r="BJ78" s="552">
        <v>1</v>
      </c>
      <c r="BK78" s="552">
        <v>0</v>
      </c>
    </row>
    <row r="79" spans="1:63" ht="14.5" x14ac:dyDescent="0.35">
      <c r="A79" s="563">
        <v>145760</v>
      </c>
      <c r="B79" s="563">
        <v>8313546</v>
      </c>
      <c r="C79" s="564" t="s">
        <v>134</v>
      </c>
      <c r="D79" s="538" t="s">
        <v>267</v>
      </c>
      <c r="E79" s="565" t="s">
        <v>770</v>
      </c>
      <c r="F79" s="566">
        <v>1</v>
      </c>
      <c r="G79" s="552">
        <v>0</v>
      </c>
      <c r="H79" s="552">
        <v>0</v>
      </c>
      <c r="I79" s="552">
        <v>7</v>
      </c>
      <c r="J79" s="552">
        <v>0</v>
      </c>
      <c r="K79" s="552">
        <v>0</v>
      </c>
      <c r="L79" s="552">
        <v>0</v>
      </c>
      <c r="M79" s="552">
        <v>615</v>
      </c>
      <c r="N79" s="552">
        <v>615</v>
      </c>
      <c r="O79" s="552">
        <v>85</v>
      </c>
      <c r="P79" s="552">
        <v>530</v>
      </c>
      <c r="Q79" s="552">
        <v>0</v>
      </c>
      <c r="R79" s="552">
        <v>0</v>
      </c>
      <c r="S79" s="552">
        <v>0</v>
      </c>
      <c r="T79" s="552">
        <v>0</v>
      </c>
      <c r="U79" s="552">
        <v>0</v>
      </c>
      <c r="V79" s="552">
        <v>0</v>
      </c>
      <c r="W79" s="552">
        <v>0</v>
      </c>
      <c r="X79" s="552">
        <v>0</v>
      </c>
      <c r="Y79" s="552">
        <v>0</v>
      </c>
      <c r="Z79" s="552">
        <v>615</v>
      </c>
      <c r="AA79" s="552">
        <v>87.857142857142861</v>
      </c>
      <c r="AB79" s="552">
        <v>375.99999999999989</v>
      </c>
      <c r="AC79" s="552">
        <v>380.99999999999989</v>
      </c>
      <c r="AD79" s="552">
        <v>0</v>
      </c>
      <c r="AE79" s="552">
        <v>0</v>
      </c>
      <c r="AF79" s="552">
        <v>123</v>
      </c>
      <c r="AG79" s="552">
        <v>9.9999999999999911</v>
      </c>
      <c r="AH79" s="552">
        <v>146.00000000000011</v>
      </c>
      <c r="AI79" s="552">
        <v>154.99999999999986</v>
      </c>
      <c r="AJ79" s="552">
        <v>19.999999999999982</v>
      </c>
      <c r="AK79" s="552">
        <v>154.00000000000023</v>
      </c>
      <c r="AL79" s="552">
        <v>6.9999999999999929</v>
      </c>
      <c r="AM79" s="552">
        <v>0</v>
      </c>
      <c r="AN79" s="552">
        <v>0</v>
      </c>
      <c r="AO79" s="552">
        <v>0</v>
      </c>
      <c r="AP79" s="552">
        <v>0</v>
      </c>
      <c r="AQ79" s="552">
        <v>0</v>
      </c>
      <c r="AR79" s="552">
        <v>0</v>
      </c>
      <c r="AS79" s="552">
        <v>0</v>
      </c>
      <c r="AT79" s="552">
        <v>214.66981132075477</v>
      </c>
      <c r="AU79" s="552">
        <v>0</v>
      </c>
      <c r="AV79" s="552">
        <v>254.4958502741616</v>
      </c>
      <c r="AW79" s="552">
        <v>0</v>
      </c>
      <c r="AX79" s="552">
        <v>0</v>
      </c>
      <c r="AY79" s="552">
        <v>0</v>
      </c>
      <c r="AZ79" s="552">
        <v>0</v>
      </c>
      <c r="BA79" s="552">
        <v>0</v>
      </c>
      <c r="BB79" s="552">
        <v>0</v>
      </c>
      <c r="BC79" s="552">
        <v>9.1749185667752489</v>
      </c>
      <c r="BD79" s="552">
        <v>0</v>
      </c>
      <c r="BE79" s="552">
        <v>0.54600000000000004</v>
      </c>
      <c r="BF79" s="552">
        <v>0</v>
      </c>
      <c r="BG79" s="552">
        <v>0</v>
      </c>
      <c r="BH79" s="567">
        <v>0</v>
      </c>
      <c r="BI79" s="552">
        <v>0</v>
      </c>
      <c r="BJ79" s="552">
        <v>1</v>
      </c>
      <c r="BK79" s="552">
        <v>0</v>
      </c>
    </row>
    <row r="80" spans="1:63" ht="14.5" x14ac:dyDescent="0.35">
      <c r="A80" s="563">
        <v>138776</v>
      </c>
      <c r="B80" s="563">
        <v>8314000</v>
      </c>
      <c r="C80" s="564" t="s">
        <v>135</v>
      </c>
      <c r="D80" s="538" t="s">
        <v>267</v>
      </c>
      <c r="E80" s="565" t="s">
        <v>770</v>
      </c>
      <c r="F80" s="566">
        <v>1</v>
      </c>
      <c r="G80" s="552">
        <v>0</v>
      </c>
      <c r="H80" s="552">
        <v>0</v>
      </c>
      <c r="I80" s="552">
        <v>7</v>
      </c>
      <c r="J80" s="552">
        <v>0</v>
      </c>
      <c r="K80" s="552">
        <v>0</v>
      </c>
      <c r="L80" s="552">
        <v>0</v>
      </c>
      <c r="M80" s="552">
        <v>421</v>
      </c>
      <c r="N80" s="552">
        <v>421</v>
      </c>
      <c r="O80" s="552">
        <v>60</v>
      </c>
      <c r="P80" s="552">
        <v>361</v>
      </c>
      <c r="Q80" s="552">
        <v>0</v>
      </c>
      <c r="R80" s="552">
        <v>0</v>
      </c>
      <c r="S80" s="552">
        <v>0</v>
      </c>
      <c r="T80" s="552">
        <v>0</v>
      </c>
      <c r="U80" s="552">
        <v>0</v>
      </c>
      <c r="V80" s="552">
        <v>0</v>
      </c>
      <c r="W80" s="552">
        <v>0</v>
      </c>
      <c r="X80" s="552">
        <v>0</v>
      </c>
      <c r="Y80" s="552">
        <v>0</v>
      </c>
      <c r="Z80" s="552">
        <v>421</v>
      </c>
      <c r="AA80" s="552">
        <v>60.142857142857146</v>
      </c>
      <c r="AB80" s="552">
        <v>222.99999999999994</v>
      </c>
      <c r="AC80" s="552">
        <v>223.99999999999991</v>
      </c>
      <c r="AD80" s="552">
        <v>0</v>
      </c>
      <c r="AE80" s="552">
        <v>0</v>
      </c>
      <c r="AF80" s="552">
        <v>71.50956937799063</v>
      </c>
      <c r="AG80" s="552">
        <v>42.301435406698765</v>
      </c>
      <c r="AH80" s="552">
        <v>64.459330143540697</v>
      </c>
      <c r="AI80" s="552">
        <v>95.681818181818059</v>
      </c>
      <c r="AJ80" s="552">
        <v>68.488038277512146</v>
      </c>
      <c r="AK80" s="552">
        <v>52.373205741626755</v>
      </c>
      <c r="AL80" s="552">
        <v>26.186602870813378</v>
      </c>
      <c r="AM80" s="552">
        <v>0</v>
      </c>
      <c r="AN80" s="552">
        <v>0</v>
      </c>
      <c r="AO80" s="552">
        <v>0</v>
      </c>
      <c r="AP80" s="552">
        <v>0</v>
      </c>
      <c r="AQ80" s="552">
        <v>0</v>
      </c>
      <c r="AR80" s="552">
        <v>0</v>
      </c>
      <c r="AS80" s="552">
        <v>0</v>
      </c>
      <c r="AT80" s="552">
        <v>208.75069252077546</v>
      </c>
      <c r="AU80" s="552">
        <v>0</v>
      </c>
      <c r="AV80" s="552">
        <v>125.02494464390711</v>
      </c>
      <c r="AW80" s="552">
        <v>0</v>
      </c>
      <c r="AX80" s="552">
        <v>0</v>
      </c>
      <c r="AY80" s="552">
        <v>0</v>
      </c>
      <c r="AZ80" s="552">
        <v>0</v>
      </c>
      <c r="BA80" s="552">
        <v>0</v>
      </c>
      <c r="BB80" s="552">
        <v>0</v>
      </c>
      <c r="BC80" s="552">
        <v>18.740000000000158</v>
      </c>
      <c r="BD80" s="552">
        <v>0</v>
      </c>
      <c r="BE80" s="552">
        <v>0.56699999999999995</v>
      </c>
      <c r="BF80" s="552">
        <v>0</v>
      </c>
      <c r="BG80" s="552">
        <v>0</v>
      </c>
      <c r="BH80" s="567">
        <v>0</v>
      </c>
      <c r="BI80" s="552">
        <v>0</v>
      </c>
      <c r="BJ80" s="552">
        <v>1</v>
      </c>
      <c r="BK80" s="552">
        <v>0</v>
      </c>
    </row>
    <row r="81" spans="1:63" ht="14.5" x14ac:dyDescent="0.35">
      <c r="A81" s="563">
        <v>146847</v>
      </c>
      <c r="B81" s="563">
        <v>8315201</v>
      </c>
      <c r="C81" s="564" t="s">
        <v>136</v>
      </c>
      <c r="D81" s="538" t="s">
        <v>267</v>
      </c>
      <c r="E81" s="565" t="s">
        <v>770</v>
      </c>
      <c r="F81" s="566">
        <v>1</v>
      </c>
      <c r="G81" s="552">
        <v>0</v>
      </c>
      <c r="H81" s="552">
        <v>0</v>
      </c>
      <c r="I81" s="552">
        <v>7</v>
      </c>
      <c r="J81" s="552">
        <v>0</v>
      </c>
      <c r="K81" s="552">
        <v>0</v>
      </c>
      <c r="L81" s="552">
        <v>0</v>
      </c>
      <c r="M81" s="552">
        <v>266</v>
      </c>
      <c r="N81" s="552">
        <v>266</v>
      </c>
      <c r="O81" s="552">
        <v>29</v>
      </c>
      <c r="P81" s="552">
        <v>237</v>
      </c>
      <c r="Q81" s="552">
        <v>0</v>
      </c>
      <c r="R81" s="552">
        <v>0</v>
      </c>
      <c r="S81" s="552">
        <v>0</v>
      </c>
      <c r="T81" s="552">
        <v>0</v>
      </c>
      <c r="U81" s="552">
        <v>0</v>
      </c>
      <c r="V81" s="552">
        <v>0</v>
      </c>
      <c r="W81" s="552">
        <v>0</v>
      </c>
      <c r="X81" s="552">
        <v>0</v>
      </c>
      <c r="Y81" s="552">
        <v>0</v>
      </c>
      <c r="Z81" s="552">
        <v>266</v>
      </c>
      <c r="AA81" s="552">
        <v>38</v>
      </c>
      <c r="AB81" s="552">
        <v>76.000000000000071</v>
      </c>
      <c r="AC81" s="552">
        <v>76.000000000000071</v>
      </c>
      <c r="AD81" s="552">
        <v>0</v>
      </c>
      <c r="AE81" s="552">
        <v>0</v>
      </c>
      <c r="AF81" s="552">
        <v>182.99999999999997</v>
      </c>
      <c r="AG81" s="552">
        <v>18.999999999999993</v>
      </c>
      <c r="AH81" s="552">
        <v>29.999999999999986</v>
      </c>
      <c r="AI81" s="552">
        <v>0</v>
      </c>
      <c r="AJ81" s="552">
        <v>29.999999999999986</v>
      </c>
      <c r="AK81" s="552">
        <v>0.99999999999999956</v>
      </c>
      <c r="AL81" s="552">
        <v>2.9999999999999991</v>
      </c>
      <c r="AM81" s="552">
        <v>0</v>
      </c>
      <c r="AN81" s="552">
        <v>0</v>
      </c>
      <c r="AO81" s="552">
        <v>0</v>
      </c>
      <c r="AP81" s="552">
        <v>0</v>
      </c>
      <c r="AQ81" s="552">
        <v>0</v>
      </c>
      <c r="AR81" s="552">
        <v>0</v>
      </c>
      <c r="AS81" s="552">
        <v>0</v>
      </c>
      <c r="AT81" s="552">
        <v>16.835443037974677</v>
      </c>
      <c r="AU81" s="552">
        <v>0</v>
      </c>
      <c r="AV81" s="552">
        <v>57.323129251700678</v>
      </c>
      <c r="AW81" s="552">
        <v>0</v>
      </c>
      <c r="AX81" s="552">
        <v>0</v>
      </c>
      <c r="AY81" s="552">
        <v>0</v>
      </c>
      <c r="AZ81" s="552">
        <v>0</v>
      </c>
      <c r="BA81" s="552">
        <v>0</v>
      </c>
      <c r="BB81" s="552">
        <v>0</v>
      </c>
      <c r="BC81" s="552">
        <v>8.039999999999992</v>
      </c>
      <c r="BD81" s="552">
        <v>0</v>
      </c>
      <c r="BE81" s="552">
        <v>0.90200000000000002</v>
      </c>
      <c r="BF81" s="552">
        <v>0</v>
      </c>
      <c r="BG81" s="552">
        <v>0</v>
      </c>
      <c r="BH81" s="567">
        <v>0</v>
      </c>
      <c r="BI81" s="552">
        <v>0</v>
      </c>
      <c r="BJ81" s="552">
        <v>1</v>
      </c>
      <c r="BK81" s="552">
        <v>0</v>
      </c>
    </row>
    <row r="82" spans="1:63" ht="14.5" x14ac:dyDescent="0.35">
      <c r="A82" s="563">
        <v>146500</v>
      </c>
      <c r="B82" s="563">
        <v>8315203</v>
      </c>
      <c r="C82" s="564" t="s">
        <v>137</v>
      </c>
      <c r="D82" s="538" t="s">
        <v>267</v>
      </c>
      <c r="E82" s="565" t="s">
        <v>770</v>
      </c>
      <c r="F82" s="566">
        <v>1</v>
      </c>
      <c r="G82" s="552">
        <v>0</v>
      </c>
      <c r="H82" s="552">
        <v>0</v>
      </c>
      <c r="I82" s="552">
        <v>4</v>
      </c>
      <c r="J82" s="552">
        <v>0</v>
      </c>
      <c r="K82" s="552">
        <v>0</v>
      </c>
      <c r="L82" s="552">
        <v>0</v>
      </c>
      <c r="M82" s="552">
        <v>452</v>
      </c>
      <c r="N82" s="552">
        <v>452</v>
      </c>
      <c r="O82" s="552">
        <v>0</v>
      </c>
      <c r="P82" s="552">
        <v>452</v>
      </c>
      <c r="Q82" s="552">
        <v>0</v>
      </c>
      <c r="R82" s="552">
        <v>0</v>
      </c>
      <c r="S82" s="552">
        <v>0</v>
      </c>
      <c r="T82" s="552">
        <v>0</v>
      </c>
      <c r="U82" s="552">
        <v>0</v>
      </c>
      <c r="V82" s="552">
        <v>0</v>
      </c>
      <c r="W82" s="552">
        <v>0</v>
      </c>
      <c r="X82" s="552">
        <v>0</v>
      </c>
      <c r="Y82" s="552">
        <v>0</v>
      </c>
      <c r="Z82" s="552">
        <v>452</v>
      </c>
      <c r="AA82" s="552">
        <v>113</v>
      </c>
      <c r="AB82" s="552">
        <v>122.00000000000011</v>
      </c>
      <c r="AC82" s="552">
        <v>126.00000000000014</v>
      </c>
      <c r="AD82" s="552">
        <v>0</v>
      </c>
      <c r="AE82" s="552">
        <v>0</v>
      </c>
      <c r="AF82" s="552">
        <v>371.64444444444433</v>
      </c>
      <c r="AG82" s="552">
        <v>61.271111111111317</v>
      </c>
      <c r="AH82" s="552">
        <v>1.0044444444444434</v>
      </c>
      <c r="AI82" s="552">
        <v>2.0088888888888867</v>
      </c>
      <c r="AJ82" s="552">
        <v>0</v>
      </c>
      <c r="AK82" s="552">
        <v>12.053333333333349</v>
      </c>
      <c r="AL82" s="552">
        <v>4.0177777777777788</v>
      </c>
      <c r="AM82" s="552">
        <v>0</v>
      </c>
      <c r="AN82" s="552">
        <v>0</v>
      </c>
      <c r="AO82" s="552">
        <v>0</v>
      </c>
      <c r="AP82" s="552">
        <v>0</v>
      </c>
      <c r="AQ82" s="552">
        <v>0</v>
      </c>
      <c r="AR82" s="552">
        <v>0</v>
      </c>
      <c r="AS82" s="552">
        <v>0</v>
      </c>
      <c r="AT82" s="552">
        <v>17.000000000000025</v>
      </c>
      <c r="AU82" s="552">
        <v>0</v>
      </c>
      <c r="AV82" s="552">
        <v>119.1607049988699</v>
      </c>
      <c r="AW82" s="552">
        <v>0</v>
      </c>
      <c r="AX82" s="552">
        <v>0</v>
      </c>
      <c r="AY82" s="552">
        <v>0</v>
      </c>
      <c r="AZ82" s="552">
        <v>0</v>
      </c>
      <c r="BA82" s="552">
        <v>0</v>
      </c>
      <c r="BB82" s="552">
        <v>0</v>
      </c>
      <c r="BC82" s="552">
        <v>0</v>
      </c>
      <c r="BD82" s="552">
        <v>0</v>
      </c>
      <c r="BE82" s="552">
        <v>0.92600000000000005</v>
      </c>
      <c r="BF82" s="552">
        <v>0</v>
      </c>
      <c r="BG82" s="552">
        <v>0</v>
      </c>
      <c r="BH82" s="567">
        <v>0</v>
      </c>
      <c r="BI82" s="552">
        <v>0</v>
      </c>
      <c r="BJ82" s="552">
        <v>1</v>
      </c>
      <c r="BK82" s="552">
        <v>0</v>
      </c>
    </row>
    <row r="83" spans="1:63" ht="14.5" x14ac:dyDescent="0.35">
      <c r="A83" s="563">
        <v>143734</v>
      </c>
      <c r="B83" s="563">
        <v>8314004</v>
      </c>
      <c r="C83" s="564" t="s">
        <v>138</v>
      </c>
      <c r="D83" s="538" t="s">
        <v>199</v>
      </c>
      <c r="E83" s="565" t="s">
        <v>770</v>
      </c>
      <c r="F83" s="566">
        <v>1</v>
      </c>
      <c r="G83" s="552">
        <v>0</v>
      </c>
      <c r="H83" s="552">
        <v>0</v>
      </c>
      <c r="I83" s="552">
        <v>0</v>
      </c>
      <c r="J83" s="552">
        <v>5</v>
      </c>
      <c r="K83" s="552">
        <v>3</v>
      </c>
      <c r="L83" s="552">
        <v>2</v>
      </c>
      <c r="M83" s="552">
        <v>904</v>
      </c>
      <c r="N83" s="552">
        <v>0</v>
      </c>
      <c r="O83" s="552">
        <v>0</v>
      </c>
      <c r="P83" s="552">
        <v>0</v>
      </c>
      <c r="Q83" s="552">
        <v>904</v>
      </c>
      <c r="R83" s="552">
        <v>543</v>
      </c>
      <c r="S83" s="552">
        <v>361</v>
      </c>
      <c r="T83" s="552">
        <v>181</v>
      </c>
      <c r="U83" s="552">
        <v>182</v>
      </c>
      <c r="V83" s="552">
        <v>180</v>
      </c>
      <c r="W83" s="552">
        <v>181</v>
      </c>
      <c r="X83" s="552">
        <v>180</v>
      </c>
      <c r="Y83" s="552">
        <v>0</v>
      </c>
      <c r="Z83" s="552">
        <v>904</v>
      </c>
      <c r="AA83" s="552">
        <v>180.8</v>
      </c>
      <c r="AB83" s="552">
        <v>0</v>
      </c>
      <c r="AC83" s="552">
        <v>0</v>
      </c>
      <c r="AD83" s="552">
        <v>464.99999999999977</v>
      </c>
      <c r="AE83" s="552">
        <v>490.0000000000004</v>
      </c>
      <c r="AF83" s="552">
        <v>0</v>
      </c>
      <c r="AG83" s="552">
        <v>0</v>
      </c>
      <c r="AH83" s="552">
        <v>0</v>
      </c>
      <c r="AI83" s="552">
        <v>0</v>
      </c>
      <c r="AJ83" s="552">
        <v>0</v>
      </c>
      <c r="AK83" s="552">
        <v>0</v>
      </c>
      <c r="AL83" s="552">
        <v>0</v>
      </c>
      <c r="AM83" s="552">
        <v>117.25942350332578</v>
      </c>
      <c r="AN83" s="552">
        <v>105.23281596452345</v>
      </c>
      <c r="AO83" s="552">
        <v>235.52106430155192</v>
      </c>
      <c r="AP83" s="552">
        <v>102.22616407982242</v>
      </c>
      <c r="AQ83" s="552">
        <v>119.26385809312646</v>
      </c>
      <c r="AR83" s="552">
        <v>125.27716186252763</v>
      </c>
      <c r="AS83" s="552">
        <v>99.219512195122306</v>
      </c>
      <c r="AT83" s="552">
        <v>0</v>
      </c>
      <c r="AU83" s="552">
        <v>56.124168514412396</v>
      </c>
      <c r="AV83" s="552">
        <v>0</v>
      </c>
      <c r="AW83" s="552">
        <v>91.005586592178872</v>
      </c>
      <c r="AX83" s="552">
        <v>97.500000000000057</v>
      </c>
      <c r="AY83" s="552">
        <v>103.17073170731706</v>
      </c>
      <c r="AZ83" s="552">
        <v>103.74390243902438</v>
      </c>
      <c r="BA83" s="552">
        <v>60.750000000000007</v>
      </c>
      <c r="BB83" s="552">
        <v>258.79991497717072</v>
      </c>
      <c r="BC83" s="552">
        <v>0</v>
      </c>
      <c r="BD83" s="552">
        <v>0</v>
      </c>
      <c r="BE83" s="552">
        <v>0</v>
      </c>
      <c r="BF83" s="552">
        <v>1.5069999999999999</v>
      </c>
      <c r="BG83" s="552">
        <v>0</v>
      </c>
      <c r="BH83" s="567">
        <v>0</v>
      </c>
      <c r="BI83" s="552">
        <v>0</v>
      </c>
      <c r="BJ83" s="552">
        <v>0</v>
      </c>
      <c r="BK83" s="552">
        <v>1</v>
      </c>
    </row>
    <row r="84" spans="1:63" ht="14.5" x14ac:dyDescent="0.35">
      <c r="A84" s="563">
        <v>143853</v>
      </c>
      <c r="B84" s="563">
        <v>8314005</v>
      </c>
      <c r="C84" s="564" t="s">
        <v>139</v>
      </c>
      <c r="D84" s="538" t="s">
        <v>199</v>
      </c>
      <c r="E84" s="565" t="s">
        <v>770</v>
      </c>
      <c r="F84" s="566">
        <v>1</v>
      </c>
      <c r="G84" s="552">
        <v>0</v>
      </c>
      <c r="H84" s="552">
        <v>0</v>
      </c>
      <c r="I84" s="552">
        <v>0</v>
      </c>
      <c r="J84" s="552">
        <v>5</v>
      </c>
      <c r="K84" s="552">
        <v>3</v>
      </c>
      <c r="L84" s="552">
        <v>2</v>
      </c>
      <c r="M84" s="552">
        <v>1258</v>
      </c>
      <c r="N84" s="552">
        <v>0</v>
      </c>
      <c r="O84" s="552">
        <v>0</v>
      </c>
      <c r="P84" s="552">
        <v>0</v>
      </c>
      <c r="Q84" s="552">
        <v>1258</v>
      </c>
      <c r="R84" s="552">
        <v>803</v>
      </c>
      <c r="S84" s="552">
        <v>455</v>
      </c>
      <c r="T84" s="552">
        <v>280</v>
      </c>
      <c r="U84" s="552">
        <v>276</v>
      </c>
      <c r="V84" s="552">
        <v>247</v>
      </c>
      <c r="W84" s="552">
        <v>240</v>
      </c>
      <c r="X84" s="552">
        <v>215</v>
      </c>
      <c r="Y84" s="552">
        <v>0</v>
      </c>
      <c r="Z84" s="552">
        <v>1258</v>
      </c>
      <c r="AA84" s="552">
        <v>251.6</v>
      </c>
      <c r="AB84" s="552">
        <v>0</v>
      </c>
      <c r="AC84" s="552">
        <v>0</v>
      </c>
      <c r="AD84" s="552">
        <v>543</v>
      </c>
      <c r="AE84" s="552">
        <v>601.00000000000045</v>
      </c>
      <c r="AF84" s="552">
        <v>0</v>
      </c>
      <c r="AG84" s="552">
        <v>0</v>
      </c>
      <c r="AH84" s="552">
        <v>0</v>
      </c>
      <c r="AI84" s="552">
        <v>0</v>
      </c>
      <c r="AJ84" s="552">
        <v>0</v>
      </c>
      <c r="AK84" s="552">
        <v>0</v>
      </c>
      <c r="AL84" s="552">
        <v>0</v>
      </c>
      <c r="AM84" s="552">
        <v>405</v>
      </c>
      <c r="AN84" s="552">
        <v>174.99999999999957</v>
      </c>
      <c r="AO84" s="552">
        <v>189.00000000000057</v>
      </c>
      <c r="AP84" s="552">
        <v>5</v>
      </c>
      <c r="AQ84" s="552">
        <v>126.99999999999983</v>
      </c>
      <c r="AR84" s="552">
        <v>208.00000000000009</v>
      </c>
      <c r="AS84" s="552">
        <v>149.0000000000002</v>
      </c>
      <c r="AT84" s="552">
        <v>0</v>
      </c>
      <c r="AU84" s="552">
        <v>21.016706443914025</v>
      </c>
      <c r="AV84" s="552">
        <v>0</v>
      </c>
      <c r="AW84" s="552">
        <v>124.99999999999989</v>
      </c>
      <c r="AX84" s="552">
        <v>110.19780219780213</v>
      </c>
      <c r="AY84" s="552">
        <v>110.79423868312757</v>
      </c>
      <c r="AZ84" s="552">
        <v>107.65432098765433</v>
      </c>
      <c r="BA84" s="552">
        <v>93.059701492537229</v>
      </c>
      <c r="BB84" s="552">
        <v>312.63130857601152</v>
      </c>
      <c r="BC84" s="552">
        <v>0</v>
      </c>
      <c r="BD84" s="552">
        <v>0</v>
      </c>
      <c r="BE84" s="552">
        <v>0</v>
      </c>
      <c r="BF84" s="552">
        <v>1.161</v>
      </c>
      <c r="BG84" s="552">
        <v>0</v>
      </c>
      <c r="BH84" s="567">
        <v>0</v>
      </c>
      <c r="BI84" s="552">
        <v>0</v>
      </c>
      <c r="BJ84" s="552">
        <v>0</v>
      </c>
      <c r="BK84" s="552">
        <v>1</v>
      </c>
    </row>
    <row r="85" spans="1:63" ht="14.5" x14ac:dyDescent="0.35">
      <c r="A85" s="563">
        <v>143934</v>
      </c>
      <c r="B85" s="563">
        <v>8314006</v>
      </c>
      <c r="C85" s="564" t="s">
        <v>140</v>
      </c>
      <c r="D85" s="538" t="s">
        <v>199</v>
      </c>
      <c r="E85" s="565" t="s">
        <v>770</v>
      </c>
      <c r="F85" s="566">
        <v>1</v>
      </c>
      <c r="G85" s="552">
        <v>0</v>
      </c>
      <c r="H85" s="552">
        <v>0</v>
      </c>
      <c r="I85" s="552">
        <v>0</v>
      </c>
      <c r="J85" s="552">
        <v>5</v>
      </c>
      <c r="K85" s="552">
        <v>3</v>
      </c>
      <c r="L85" s="552">
        <v>2</v>
      </c>
      <c r="M85" s="552">
        <v>1026</v>
      </c>
      <c r="N85" s="552">
        <v>0</v>
      </c>
      <c r="O85" s="552">
        <v>0</v>
      </c>
      <c r="P85" s="552">
        <v>0</v>
      </c>
      <c r="Q85" s="552">
        <v>1026</v>
      </c>
      <c r="R85" s="552">
        <v>631</v>
      </c>
      <c r="S85" s="552">
        <v>395</v>
      </c>
      <c r="T85" s="552">
        <v>209</v>
      </c>
      <c r="U85" s="552">
        <v>217</v>
      </c>
      <c r="V85" s="552">
        <v>205</v>
      </c>
      <c r="W85" s="552">
        <v>186</v>
      </c>
      <c r="X85" s="552">
        <v>209</v>
      </c>
      <c r="Y85" s="552">
        <v>0</v>
      </c>
      <c r="Z85" s="552">
        <v>1026</v>
      </c>
      <c r="AA85" s="552">
        <v>205.2</v>
      </c>
      <c r="AB85" s="552">
        <v>0</v>
      </c>
      <c r="AC85" s="552">
        <v>0</v>
      </c>
      <c r="AD85" s="552">
        <v>345.99999999999983</v>
      </c>
      <c r="AE85" s="552">
        <v>386.0000000000004</v>
      </c>
      <c r="AF85" s="552">
        <v>0</v>
      </c>
      <c r="AG85" s="552">
        <v>0</v>
      </c>
      <c r="AH85" s="552">
        <v>0</v>
      </c>
      <c r="AI85" s="552">
        <v>0</v>
      </c>
      <c r="AJ85" s="552">
        <v>0</v>
      </c>
      <c r="AK85" s="552">
        <v>0</v>
      </c>
      <c r="AL85" s="552">
        <v>0</v>
      </c>
      <c r="AM85" s="552">
        <v>551.53756097560972</v>
      </c>
      <c r="AN85" s="552">
        <v>139.13560975609761</v>
      </c>
      <c r="AO85" s="552">
        <v>116.11317073170723</v>
      </c>
      <c r="AP85" s="552">
        <v>88.085853658536621</v>
      </c>
      <c r="AQ85" s="552">
        <v>22.021463414634106</v>
      </c>
      <c r="AR85" s="552">
        <v>36.035121951219516</v>
      </c>
      <c r="AS85" s="552">
        <v>73.071219512195071</v>
      </c>
      <c r="AT85" s="552">
        <v>0</v>
      </c>
      <c r="AU85" s="552">
        <v>34.36847290640393</v>
      </c>
      <c r="AV85" s="552">
        <v>0</v>
      </c>
      <c r="AW85" s="552">
        <v>89.427884615384528</v>
      </c>
      <c r="AX85" s="552">
        <v>100.07281553398052</v>
      </c>
      <c r="AY85" s="552">
        <v>91.573604060913667</v>
      </c>
      <c r="AZ85" s="552">
        <v>83.086294416243618</v>
      </c>
      <c r="BA85" s="552">
        <v>71.777777777777686</v>
      </c>
      <c r="BB85" s="552">
        <v>248.87109313880529</v>
      </c>
      <c r="BC85" s="552">
        <v>0</v>
      </c>
      <c r="BD85" s="552">
        <v>0</v>
      </c>
      <c r="BE85" s="552">
        <v>0</v>
      </c>
      <c r="BF85" s="552">
        <v>1.609</v>
      </c>
      <c r="BG85" s="552">
        <v>0</v>
      </c>
      <c r="BH85" s="567">
        <v>0</v>
      </c>
      <c r="BI85" s="552">
        <v>0</v>
      </c>
      <c r="BJ85" s="552">
        <v>0</v>
      </c>
      <c r="BK85" s="552">
        <v>1</v>
      </c>
    </row>
    <row r="86" spans="1:63" ht="14.5" x14ac:dyDescent="0.35">
      <c r="A86" s="563">
        <v>144066</v>
      </c>
      <c r="B86" s="563">
        <v>8314007</v>
      </c>
      <c r="C86" s="564" t="s">
        <v>141</v>
      </c>
      <c r="D86" s="538" t="s">
        <v>199</v>
      </c>
      <c r="E86" s="565" t="s">
        <v>770</v>
      </c>
      <c r="F86" s="566">
        <v>1</v>
      </c>
      <c r="G86" s="552">
        <v>0</v>
      </c>
      <c r="H86" s="552">
        <v>0</v>
      </c>
      <c r="I86" s="552">
        <v>0</v>
      </c>
      <c r="J86" s="552">
        <v>5</v>
      </c>
      <c r="K86" s="552">
        <v>3</v>
      </c>
      <c r="L86" s="552">
        <v>2</v>
      </c>
      <c r="M86" s="552">
        <v>705</v>
      </c>
      <c r="N86" s="552">
        <v>0</v>
      </c>
      <c r="O86" s="552">
        <v>0</v>
      </c>
      <c r="P86" s="552">
        <v>0</v>
      </c>
      <c r="Q86" s="552">
        <v>705</v>
      </c>
      <c r="R86" s="552">
        <v>422</v>
      </c>
      <c r="S86" s="552">
        <v>283</v>
      </c>
      <c r="T86" s="552">
        <v>143</v>
      </c>
      <c r="U86" s="552">
        <v>154</v>
      </c>
      <c r="V86" s="552">
        <v>125</v>
      </c>
      <c r="W86" s="552">
        <v>140</v>
      </c>
      <c r="X86" s="552">
        <v>143</v>
      </c>
      <c r="Y86" s="552">
        <v>0</v>
      </c>
      <c r="Z86" s="552">
        <v>705</v>
      </c>
      <c r="AA86" s="552">
        <v>141</v>
      </c>
      <c r="AB86" s="552">
        <v>0</v>
      </c>
      <c r="AC86" s="552">
        <v>0</v>
      </c>
      <c r="AD86" s="552">
        <v>386.00000000000011</v>
      </c>
      <c r="AE86" s="552">
        <v>401.00000000000017</v>
      </c>
      <c r="AF86" s="552">
        <v>0</v>
      </c>
      <c r="AG86" s="552">
        <v>0</v>
      </c>
      <c r="AH86" s="552">
        <v>0</v>
      </c>
      <c r="AI86" s="552">
        <v>0</v>
      </c>
      <c r="AJ86" s="552">
        <v>0</v>
      </c>
      <c r="AK86" s="552">
        <v>0</v>
      </c>
      <c r="AL86" s="552">
        <v>0</v>
      </c>
      <c r="AM86" s="552">
        <v>113.99999999999967</v>
      </c>
      <c r="AN86" s="552">
        <v>150.00000000000034</v>
      </c>
      <c r="AO86" s="552">
        <v>106</v>
      </c>
      <c r="AP86" s="552">
        <v>49.999999999999972</v>
      </c>
      <c r="AQ86" s="552">
        <v>12.999999999999972</v>
      </c>
      <c r="AR86" s="552">
        <v>81.000000000000284</v>
      </c>
      <c r="AS86" s="552">
        <v>191.00000000000011</v>
      </c>
      <c r="AT86" s="552">
        <v>0</v>
      </c>
      <c r="AU86" s="552">
        <v>19.000000000000014</v>
      </c>
      <c r="AV86" s="552">
        <v>0</v>
      </c>
      <c r="AW86" s="552">
        <v>99.390070921985853</v>
      </c>
      <c r="AX86" s="552">
        <v>84.283783783783747</v>
      </c>
      <c r="AY86" s="552">
        <v>66.30434782608701</v>
      </c>
      <c r="AZ86" s="552">
        <v>74.260869565217448</v>
      </c>
      <c r="BA86" s="552">
        <v>73.542857142857102</v>
      </c>
      <c r="BB86" s="552">
        <v>228.38342641033989</v>
      </c>
      <c r="BC86" s="552">
        <v>0</v>
      </c>
      <c r="BD86" s="552">
        <v>13.859317211948762</v>
      </c>
      <c r="BE86" s="552">
        <v>0</v>
      </c>
      <c r="BF86" s="552">
        <v>1.484</v>
      </c>
      <c r="BG86" s="552">
        <v>0</v>
      </c>
      <c r="BH86" s="567">
        <v>0</v>
      </c>
      <c r="BI86" s="552">
        <v>0</v>
      </c>
      <c r="BJ86" s="552">
        <v>0</v>
      </c>
      <c r="BK86" s="552">
        <v>1</v>
      </c>
    </row>
    <row r="87" spans="1:63" ht="14.5" x14ac:dyDescent="0.35">
      <c r="A87" s="563">
        <v>145132</v>
      </c>
      <c r="B87" s="563">
        <v>8314008</v>
      </c>
      <c r="C87" s="564" t="s">
        <v>142</v>
      </c>
      <c r="D87" s="538" t="s">
        <v>199</v>
      </c>
      <c r="E87" s="565" t="s">
        <v>770</v>
      </c>
      <c r="F87" s="566">
        <v>1</v>
      </c>
      <c r="G87" s="552">
        <v>0</v>
      </c>
      <c r="H87" s="552">
        <v>0</v>
      </c>
      <c r="I87" s="552">
        <v>0</v>
      </c>
      <c r="J87" s="552">
        <v>5</v>
      </c>
      <c r="K87" s="552">
        <v>3</v>
      </c>
      <c r="L87" s="552">
        <v>2</v>
      </c>
      <c r="M87" s="552">
        <v>913</v>
      </c>
      <c r="N87" s="552">
        <v>0</v>
      </c>
      <c r="O87" s="552">
        <v>0</v>
      </c>
      <c r="P87" s="552">
        <v>0</v>
      </c>
      <c r="Q87" s="552">
        <v>913</v>
      </c>
      <c r="R87" s="552">
        <v>543</v>
      </c>
      <c r="S87" s="552">
        <v>370</v>
      </c>
      <c r="T87" s="552">
        <v>162</v>
      </c>
      <c r="U87" s="552">
        <v>199</v>
      </c>
      <c r="V87" s="552">
        <v>182</v>
      </c>
      <c r="W87" s="552">
        <v>180</v>
      </c>
      <c r="X87" s="552">
        <v>190</v>
      </c>
      <c r="Y87" s="552">
        <v>0</v>
      </c>
      <c r="Z87" s="552">
        <v>913</v>
      </c>
      <c r="AA87" s="552">
        <v>182.6</v>
      </c>
      <c r="AB87" s="552">
        <v>0</v>
      </c>
      <c r="AC87" s="552">
        <v>0</v>
      </c>
      <c r="AD87" s="552">
        <v>493.99999999999966</v>
      </c>
      <c r="AE87" s="552">
        <v>510.99999999999977</v>
      </c>
      <c r="AF87" s="552">
        <v>0</v>
      </c>
      <c r="AG87" s="552">
        <v>0</v>
      </c>
      <c r="AH87" s="552">
        <v>0</v>
      </c>
      <c r="AI87" s="552">
        <v>0</v>
      </c>
      <c r="AJ87" s="552">
        <v>0</v>
      </c>
      <c r="AK87" s="552">
        <v>0</v>
      </c>
      <c r="AL87" s="552">
        <v>0</v>
      </c>
      <c r="AM87" s="552">
        <v>231.25328947368465</v>
      </c>
      <c r="AN87" s="552">
        <v>39.042763157894697</v>
      </c>
      <c r="AO87" s="552">
        <v>127.13925438596465</v>
      </c>
      <c r="AP87" s="552">
        <v>133.14583333333303</v>
      </c>
      <c r="AQ87" s="552">
        <v>186.20394736842138</v>
      </c>
      <c r="AR87" s="552">
        <v>171.1875</v>
      </c>
      <c r="AS87" s="552">
        <v>25.027412280701764</v>
      </c>
      <c r="AT87" s="552">
        <v>0</v>
      </c>
      <c r="AU87" s="552">
        <v>74.615209988649227</v>
      </c>
      <c r="AV87" s="552">
        <v>0</v>
      </c>
      <c r="AW87" s="552">
        <v>93.623376623376629</v>
      </c>
      <c r="AX87" s="552">
        <v>120.031746031746</v>
      </c>
      <c r="AY87" s="552">
        <v>108.3067484662576</v>
      </c>
      <c r="AZ87" s="552">
        <v>107.11656441717786</v>
      </c>
      <c r="BA87" s="552">
        <v>92.919708029197096</v>
      </c>
      <c r="BB87" s="552">
        <v>298.26868293873542</v>
      </c>
      <c r="BC87" s="552">
        <v>0</v>
      </c>
      <c r="BD87" s="552">
        <v>16.375872667398454</v>
      </c>
      <c r="BE87" s="552">
        <v>0</v>
      </c>
      <c r="BF87" s="552">
        <v>2.254</v>
      </c>
      <c r="BG87" s="552">
        <v>0</v>
      </c>
      <c r="BH87" s="567">
        <v>0</v>
      </c>
      <c r="BI87" s="552">
        <v>0</v>
      </c>
      <c r="BJ87" s="552">
        <v>0</v>
      </c>
      <c r="BK87" s="552">
        <v>1</v>
      </c>
    </row>
    <row r="88" spans="1:63" ht="14.5" x14ac:dyDescent="0.35">
      <c r="A88" s="563">
        <v>147685</v>
      </c>
      <c r="B88" s="563">
        <v>8314010</v>
      </c>
      <c r="C88" s="564" t="s">
        <v>143</v>
      </c>
      <c r="D88" s="538" t="s">
        <v>199</v>
      </c>
      <c r="E88" s="565" t="s">
        <v>770</v>
      </c>
      <c r="F88" s="566">
        <v>1</v>
      </c>
      <c r="G88" s="552">
        <v>0</v>
      </c>
      <c r="H88" s="552">
        <v>0</v>
      </c>
      <c r="I88" s="552">
        <v>0</v>
      </c>
      <c r="J88" s="552">
        <v>3</v>
      </c>
      <c r="K88" s="552">
        <v>1</v>
      </c>
      <c r="L88" s="552">
        <v>2</v>
      </c>
      <c r="M88" s="552">
        <v>321</v>
      </c>
      <c r="N88" s="552">
        <v>0</v>
      </c>
      <c r="O88" s="552">
        <v>0</v>
      </c>
      <c r="P88" s="552">
        <v>0</v>
      </c>
      <c r="Q88" s="552">
        <v>321</v>
      </c>
      <c r="R88" s="552">
        <v>117</v>
      </c>
      <c r="S88" s="552">
        <v>204</v>
      </c>
      <c r="T88" s="552">
        <v>0</v>
      </c>
      <c r="U88" s="552">
        <v>0</v>
      </c>
      <c r="V88" s="552">
        <v>117</v>
      </c>
      <c r="W88" s="552">
        <v>118</v>
      </c>
      <c r="X88" s="552">
        <v>86</v>
      </c>
      <c r="Y88" s="552">
        <v>0</v>
      </c>
      <c r="Z88" s="552">
        <v>321</v>
      </c>
      <c r="AA88" s="552">
        <v>107</v>
      </c>
      <c r="AB88" s="552">
        <v>0</v>
      </c>
      <c r="AC88" s="552">
        <v>0</v>
      </c>
      <c r="AD88" s="552">
        <v>104.00000000000001</v>
      </c>
      <c r="AE88" s="552">
        <v>129.00000000000011</v>
      </c>
      <c r="AF88" s="552">
        <v>0</v>
      </c>
      <c r="AG88" s="552">
        <v>0</v>
      </c>
      <c r="AH88" s="552">
        <v>0</v>
      </c>
      <c r="AI88" s="552">
        <v>0</v>
      </c>
      <c r="AJ88" s="552">
        <v>0</v>
      </c>
      <c r="AK88" s="552">
        <v>0</v>
      </c>
      <c r="AL88" s="552">
        <v>0</v>
      </c>
      <c r="AM88" s="552">
        <v>134.99999999999989</v>
      </c>
      <c r="AN88" s="552">
        <v>35.999999999999879</v>
      </c>
      <c r="AO88" s="552">
        <v>36.999999999999943</v>
      </c>
      <c r="AP88" s="552">
        <v>20.999999999999986</v>
      </c>
      <c r="AQ88" s="552">
        <v>36.999999999999943</v>
      </c>
      <c r="AR88" s="552">
        <v>31.999999999999993</v>
      </c>
      <c r="AS88" s="552">
        <v>22.999999999999989</v>
      </c>
      <c r="AT88" s="552">
        <v>0</v>
      </c>
      <c r="AU88" s="552">
        <v>4.089171974522289</v>
      </c>
      <c r="AV88" s="552">
        <v>0</v>
      </c>
      <c r="AW88" s="552">
        <v>0</v>
      </c>
      <c r="AX88" s="552">
        <v>0</v>
      </c>
      <c r="AY88" s="552">
        <v>44.522123893805265</v>
      </c>
      <c r="AZ88" s="552">
        <v>44.902654867256587</v>
      </c>
      <c r="BA88" s="552">
        <v>41.735294117647072</v>
      </c>
      <c r="BB88" s="552">
        <v>75.639706352623591</v>
      </c>
      <c r="BC88" s="552">
        <v>0</v>
      </c>
      <c r="BD88" s="552">
        <v>0</v>
      </c>
      <c r="BE88" s="552">
        <v>0</v>
      </c>
      <c r="BF88" s="552">
        <v>1.6379999999999999</v>
      </c>
      <c r="BG88" s="552">
        <v>0.21666666666666667</v>
      </c>
      <c r="BH88" s="567">
        <v>0</v>
      </c>
      <c r="BI88" s="552">
        <v>0</v>
      </c>
      <c r="BJ88" s="552">
        <v>0</v>
      </c>
      <c r="BK88" s="552">
        <v>1</v>
      </c>
    </row>
    <row r="89" spans="1:63" ht="14.5" x14ac:dyDescent="0.35">
      <c r="A89" s="563">
        <v>148538</v>
      </c>
      <c r="B89" s="563">
        <v>8314011</v>
      </c>
      <c r="C89" s="564" t="s">
        <v>144</v>
      </c>
      <c r="D89" s="538" t="s">
        <v>199</v>
      </c>
      <c r="E89" s="565" t="s">
        <v>770</v>
      </c>
      <c r="F89" s="566">
        <v>1</v>
      </c>
      <c r="G89" s="552">
        <v>0</v>
      </c>
      <c r="H89" s="552">
        <v>0</v>
      </c>
      <c r="I89" s="552">
        <v>0</v>
      </c>
      <c r="J89" s="552">
        <v>5</v>
      </c>
      <c r="K89" s="552">
        <v>3</v>
      </c>
      <c r="L89" s="552">
        <v>2</v>
      </c>
      <c r="M89" s="552">
        <v>876</v>
      </c>
      <c r="N89" s="552">
        <v>0</v>
      </c>
      <c r="O89" s="552">
        <v>0</v>
      </c>
      <c r="P89" s="552">
        <v>0</v>
      </c>
      <c r="Q89" s="552">
        <v>876</v>
      </c>
      <c r="R89" s="552">
        <v>529</v>
      </c>
      <c r="S89" s="552">
        <v>347</v>
      </c>
      <c r="T89" s="552">
        <v>164</v>
      </c>
      <c r="U89" s="552">
        <v>195</v>
      </c>
      <c r="V89" s="552">
        <v>170</v>
      </c>
      <c r="W89" s="552">
        <v>175</v>
      </c>
      <c r="X89" s="552">
        <v>172</v>
      </c>
      <c r="Y89" s="552">
        <v>0</v>
      </c>
      <c r="Z89" s="552">
        <v>876</v>
      </c>
      <c r="AA89" s="552">
        <v>175.2</v>
      </c>
      <c r="AB89" s="552">
        <v>0</v>
      </c>
      <c r="AC89" s="552">
        <v>0</v>
      </c>
      <c r="AD89" s="552">
        <v>527.00000000000023</v>
      </c>
      <c r="AE89" s="552">
        <v>594</v>
      </c>
      <c r="AF89" s="552">
        <v>0</v>
      </c>
      <c r="AG89" s="552">
        <v>0</v>
      </c>
      <c r="AH89" s="552">
        <v>0</v>
      </c>
      <c r="AI89" s="552">
        <v>0</v>
      </c>
      <c r="AJ89" s="552">
        <v>0</v>
      </c>
      <c r="AK89" s="552">
        <v>0</v>
      </c>
      <c r="AL89" s="552">
        <v>0</v>
      </c>
      <c r="AM89" s="552">
        <v>86.000000000000028</v>
      </c>
      <c r="AN89" s="552">
        <v>59.000000000000021</v>
      </c>
      <c r="AO89" s="552">
        <v>84</v>
      </c>
      <c r="AP89" s="552">
        <v>46.000000000000043</v>
      </c>
      <c r="AQ89" s="552">
        <v>177.99999999999957</v>
      </c>
      <c r="AR89" s="552">
        <v>249.00000000000023</v>
      </c>
      <c r="AS89" s="552">
        <v>173.99999999999969</v>
      </c>
      <c r="AT89" s="552">
        <v>0</v>
      </c>
      <c r="AU89" s="552">
        <v>116.13257142857181</v>
      </c>
      <c r="AV89" s="552">
        <v>0</v>
      </c>
      <c r="AW89" s="552">
        <v>100.83783783783787</v>
      </c>
      <c r="AX89" s="552">
        <v>120.94936708860759</v>
      </c>
      <c r="AY89" s="552">
        <v>123.30985915492953</v>
      </c>
      <c r="AZ89" s="552">
        <v>126.9366197183098</v>
      </c>
      <c r="BA89" s="552">
        <v>98.285714285714207</v>
      </c>
      <c r="BB89" s="552">
        <v>325.37460323597031</v>
      </c>
      <c r="BC89" s="552">
        <v>0</v>
      </c>
      <c r="BD89" s="552">
        <v>85.597714285714545</v>
      </c>
      <c r="BE89" s="552">
        <v>0</v>
      </c>
      <c r="BF89" s="552">
        <v>1.4510000000000001</v>
      </c>
      <c r="BG89" s="552">
        <v>0</v>
      </c>
      <c r="BH89" s="567">
        <v>0</v>
      </c>
      <c r="BI89" s="552">
        <v>0</v>
      </c>
      <c r="BJ89" s="552">
        <v>0</v>
      </c>
      <c r="BK89" s="552">
        <v>1</v>
      </c>
    </row>
    <row r="90" spans="1:63" ht="14.5" x14ac:dyDescent="0.35">
      <c r="A90" s="563">
        <v>148639</v>
      </c>
      <c r="B90" s="563">
        <v>8314012</v>
      </c>
      <c r="C90" s="564" t="s">
        <v>145</v>
      </c>
      <c r="D90" s="538" t="s">
        <v>199</v>
      </c>
      <c r="E90" s="565" t="s">
        <v>770</v>
      </c>
      <c r="F90" s="566">
        <v>1</v>
      </c>
      <c r="G90" s="552">
        <v>0</v>
      </c>
      <c r="H90" s="552">
        <v>0</v>
      </c>
      <c r="I90" s="552">
        <v>0</v>
      </c>
      <c r="J90" s="552">
        <v>5</v>
      </c>
      <c r="K90" s="552">
        <v>3</v>
      </c>
      <c r="L90" s="552">
        <v>2</v>
      </c>
      <c r="M90" s="552">
        <v>1491</v>
      </c>
      <c r="N90" s="552">
        <v>0</v>
      </c>
      <c r="O90" s="552">
        <v>0</v>
      </c>
      <c r="P90" s="552">
        <v>0</v>
      </c>
      <c r="Q90" s="552">
        <v>1491</v>
      </c>
      <c r="R90" s="552">
        <v>900</v>
      </c>
      <c r="S90" s="552">
        <v>591</v>
      </c>
      <c r="T90" s="552">
        <v>305</v>
      </c>
      <c r="U90" s="552">
        <v>298</v>
      </c>
      <c r="V90" s="552">
        <v>297</v>
      </c>
      <c r="W90" s="552">
        <v>295</v>
      </c>
      <c r="X90" s="552">
        <v>296</v>
      </c>
      <c r="Y90" s="552">
        <v>0</v>
      </c>
      <c r="Z90" s="552">
        <v>1491</v>
      </c>
      <c r="AA90" s="552">
        <v>298.2</v>
      </c>
      <c r="AB90" s="552">
        <v>0</v>
      </c>
      <c r="AC90" s="552">
        <v>0</v>
      </c>
      <c r="AD90" s="552">
        <v>290.00000000000034</v>
      </c>
      <c r="AE90" s="552">
        <v>294.99999999999977</v>
      </c>
      <c r="AF90" s="552">
        <v>0</v>
      </c>
      <c r="AG90" s="552">
        <v>0</v>
      </c>
      <c r="AH90" s="552">
        <v>0</v>
      </c>
      <c r="AI90" s="552">
        <v>0</v>
      </c>
      <c r="AJ90" s="552">
        <v>0</v>
      </c>
      <c r="AK90" s="552">
        <v>0</v>
      </c>
      <c r="AL90" s="552">
        <v>0</v>
      </c>
      <c r="AM90" s="552">
        <v>1301.7461383478844</v>
      </c>
      <c r="AN90" s="552">
        <v>152.20416386836786</v>
      </c>
      <c r="AO90" s="552">
        <v>5.0067159167226336</v>
      </c>
      <c r="AP90" s="552">
        <v>1.0013431833445265</v>
      </c>
      <c r="AQ90" s="552">
        <v>5.0067159167226336</v>
      </c>
      <c r="AR90" s="552">
        <v>19.025520483545982</v>
      </c>
      <c r="AS90" s="552">
        <v>7.0094022834116894</v>
      </c>
      <c r="AT90" s="552">
        <v>0</v>
      </c>
      <c r="AU90" s="552">
        <v>23.06186953597842</v>
      </c>
      <c r="AV90" s="552">
        <v>0</v>
      </c>
      <c r="AW90" s="552">
        <v>110.99999999999994</v>
      </c>
      <c r="AX90" s="552">
        <v>96.952054794520649</v>
      </c>
      <c r="AY90" s="552">
        <v>101.06250000000007</v>
      </c>
      <c r="AZ90" s="552">
        <v>100.38194444444451</v>
      </c>
      <c r="BA90" s="552">
        <v>78.26440677966103</v>
      </c>
      <c r="BB90" s="552">
        <v>278.35575379724537</v>
      </c>
      <c r="BC90" s="552">
        <v>0</v>
      </c>
      <c r="BD90" s="552">
        <v>0</v>
      </c>
      <c r="BE90" s="552">
        <v>0</v>
      </c>
      <c r="BF90" s="552">
        <v>2.8109999999999999</v>
      </c>
      <c r="BG90" s="552">
        <v>0</v>
      </c>
      <c r="BH90" s="567">
        <v>0.68499999999999972</v>
      </c>
      <c r="BI90" s="552">
        <v>0</v>
      </c>
      <c r="BJ90" s="552">
        <v>0</v>
      </c>
      <c r="BK90" s="552">
        <v>1</v>
      </c>
    </row>
    <row r="91" spans="1:63" ht="14.5" x14ac:dyDescent="0.35">
      <c r="A91" s="563">
        <v>145327</v>
      </c>
      <c r="B91" s="563">
        <v>8314178</v>
      </c>
      <c r="C91" s="564" t="s">
        <v>146</v>
      </c>
      <c r="D91" s="538" t="s">
        <v>199</v>
      </c>
      <c r="E91" s="565" t="s">
        <v>770</v>
      </c>
      <c r="F91" s="566">
        <v>1</v>
      </c>
      <c r="G91" s="552">
        <v>0</v>
      </c>
      <c r="H91" s="552">
        <v>0</v>
      </c>
      <c r="I91" s="552">
        <v>0</v>
      </c>
      <c r="J91" s="552">
        <v>5</v>
      </c>
      <c r="K91" s="552">
        <v>3</v>
      </c>
      <c r="L91" s="552">
        <v>2</v>
      </c>
      <c r="M91" s="552">
        <v>1459</v>
      </c>
      <c r="N91" s="552">
        <v>0</v>
      </c>
      <c r="O91" s="552">
        <v>0</v>
      </c>
      <c r="P91" s="552">
        <v>0</v>
      </c>
      <c r="Q91" s="552">
        <v>1459</v>
      </c>
      <c r="R91" s="552">
        <v>877</v>
      </c>
      <c r="S91" s="552">
        <v>582</v>
      </c>
      <c r="T91" s="552">
        <v>295</v>
      </c>
      <c r="U91" s="552">
        <v>296</v>
      </c>
      <c r="V91" s="552">
        <v>286</v>
      </c>
      <c r="W91" s="552">
        <v>288</v>
      </c>
      <c r="X91" s="552">
        <v>294</v>
      </c>
      <c r="Y91" s="552">
        <v>0</v>
      </c>
      <c r="Z91" s="552">
        <v>1459</v>
      </c>
      <c r="AA91" s="552">
        <v>291.8</v>
      </c>
      <c r="AB91" s="552">
        <v>0</v>
      </c>
      <c r="AC91" s="552">
        <v>0</v>
      </c>
      <c r="AD91" s="552">
        <v>524.99999999999966</v>
      </c>
      <c r="AE91" s="552">
        <v>553.00000000000011</v>
      </c>
      <c r="AF91" s="552">
        <v>0</v>
      </c>
      <c r="AG91" s="552">
        <v>0</v>
      </c>
      <c r="AH91" s="552">
        <v>0</v>
      </c>
      <c r="AI91" s="552">
        <v>0</v>
      </c>
      <c r="AJ91" s="552">
        <v>0</v>
      </c>
      <c r="AK91" s="552">
        <v>0</v>
      </c>
      <c r="AL91" s="552">
        <v>0</v>
      </c>
      <c r="AM91" s="552">
        <v>649.78144329896907</v>
      </c>
      <c r="AN91" s="552">
        <v>11.030240549828173</v>
      </c>
      <c r="AO91" s="552">
        <v>231.63505154639154</v>
      </c>
      <c r="AP91" s="552">
        <v>232.63780068728545</v>
      </c>
      <c r="AQ91" s="552">
        <v>187.51408934707837</v>
      </c>
      <c r="AR91" s="552">
        <v>137.37663230240554</v>
      </c>
      <c r="AS91" s="552">
        <v>9.0247422680412388</v>
      </c>
      <c r="AT91" s="552">
        <v>0</v>
      </c>
      <c r="AU91" s="552">
        <v>59.000000000000057</v>
      </c>
      <c r="AV91" s="552">
        <v>0</v>
      </c>
      <c r="AW91" s="552">
        <v>122.41496598639461</v>
      </c>
      <c r="AX91" s="552">
        <v>139.77777777777771</v>
      </c>
      <c r="AY91" s="552">
        <v>149.45112781954899</v>
      </c>
      <c r="AZ91" s="552">
        <v>150.49624060150387</v>
      </c>
      <c r="BA91" s="552">
        <v>99.731448763250754</v>
      </c>
      <c r="BB91" s="552">
        <v>376.3320598395083</v>
      </c>
      <c r="BC91" s="552">
        <v>0</v>
      </c>
      <c r="BD91" s="552">
        <v>0</v>
      </c>
      <c r="BE91" s="552">
        <v>0</v>
      </c>
      <c r="BF91" s="552">
        <v>1.778</v>
      </c>
      <c r="BG91" s="552">
        <v>0</v>
      </c>
      <c r="BH91" s="567">
        <v>0</v>
      </c>
      <c r="BI91" s="552">
        <v>0</v>
      </c>
      <c r="BJ91" s="552">
        <v>0</v>
      </c>
      <c r="BK91" s="552">
        <v>1</v>
      </c>
    </row>
    <row r="92" spans="1:63" ht="14.5" x14ac:dyDescent="0.35">
      <c r="A92" s="563">
        <v>138622</v>
      </c>
      <c r="B92" s="563">
        <v>8314607</v>
      </c>
      <c r="C92" s="564" t="s">
        <v>147</v>
      </c>
      <c r="D92" s="538" t="s">
        <v>199</v>
      </c>
      <c r="E92" s="565" t="s">
        <v>770</v>
      </c>
      <c r="F92" s="566">
        <v>1</v>
      </c>
      <c r="G92" s="552">
        <v>0</v>
      </c>
      <c r="H92" s="552">
        <v>0</v>
      </c>
      <c r="I92" s="552">
        <v>0</v>
      </c>
      <c r="J92" s="552">
        <v>5</v>
      </c>
      <c r="K92" s="552">
        <v>3</v>
      </c>
      <c r="L92" s="552">
        <v>2</v>
      </c>
      <c r="M92" s="552">
        <v>1378</v>
      </c>
      <c r="N92" s="552">
        <v>0</v>
      </c>
      <c r="O92" s="552">
        <v>0</v>
      </c>
      <c r="P92" s="552">
        <v>0</v>
      </c>
      <c r="Q92" s="552">
        <v>1378</v>
      </c>
      <c r="R92" s="552">
        <v>891</v>
      </c>
      <c r="S92" s="552">
        <v>487</v>
      </c>
      <c r="T92" s="552">
        <v>314</v>
      </c>
      <c r="U92" s="552">
        <v>334</v>
      </c>
      <c r="V92" s="552">
        <v>243</v>
      </c>
      <c r="W92" s="552">
        <v>244</v>
      </c>
      <c r="X92" s="552">
        <v>243</v>
      </c>
      <c r="Y92" s="552">
        <v>0</v>
      </c>
      <c r="Z92" s="552">
        <v>1378</v>
      </c>
      <c r="AA92" s="552">
        <v>275.60000000000002</v>
      </c>
      <c r="AB92" s="552">
        <v>0</v>
      </c>
      <c r="AC92" s="552">
        <v>0</v>
      </c>
      <c r="AD92" s="552">
        <v>405.9999999999996</v>
      </c>
      <c r="AE92" s="552">
        <v>431.00000000000068</v>
      </c>
      <c r="AF92" s="552">
        <v>0</v>
      </c>
      <c r="AG92" s="552">
        <v>0</v>
      </c>
      <c r="AH92" s="552">
        <v>0</v>
      </c>
      <c r="AI92" s="552">
        <v>0</v>
      </c>
      <c r="AJ92" s="552">
        <v>0</v>
      </c>
      <c r="AK92" s="552">
        <v>0</v>
      </c>
      <c r="AL92" s="552">
        <v>0</v>
      </c>
      <c r="AM92" s="552">
        <v>411.29847494553371</v>
      </c>
      <c r="AN92" s="552">
        <v>138.10021786492337</v>
      </c>
      <c r="AO92" s="552">
        <v>251.18228031953592</v>
      </c>
      <c r="AP92" s="552">
        <v>116.08424110384895</v>
      </c>
      <c r="AQ92" s="552">
        <v>155.11256354393615</v>
      </c>
      <c r="AR92" s="552">
        <v>168.12200435729855</v>
      </c>
      <c r="AS92" s="552">
        <v>138.10021786492337</v>
      </c>
      <c r="AT92" s="552">
        <v>0</v>
      </c>
      <c r="AU92" s="552">
        <v>115.41879096868176</v>
      </c>
      <c r="AV92" s="552">
        <v>0</v>
      </c>
      <c r="AW92" s="552">
        <v>124.08934707903776</v>
      </c>
      <c r="AX92" s="552">
        <v>135.40540540540528</v>
      </c>
      <c r="AY92" s="552">
        <v>102.01415094339623</v>
      </c>
      <c r="AZ92" s="552">
        <v>102.43396226415095</v>
      </c>
      <c r="BA92" s="552">
        <v>83.250000000000099</v>
      </c>
      <c r="BB92" s="552">
        <v>312.20723399377277</v>
      </c>
      <c r="BC92" s="552">
        <v>0</v>
      </c>
      <c r="BD92" s="552">
        <v>0</v>
      </c>
      <c r="BE92" s="552">
        <v>0</v>
      </c>
      <c r="BF92" s="552">
        <v>1.2749999999999999</v>
      </c>
      <c r="BG92" s="552">
        <v>0</v>
      </c>
      <c r="BH92" s="567">
        <v>0</v>
      </c>
      <c r="BI92" s="552">
        <v>0</v>
      </c>
      <c r="BJ92" s="552">
        <v>0</v>
      </c>
      <c r="BK92" s="552">
        <v>1</v>
      </c>
    </row>
    <row r="93" spans="1:63" ht="14.5" x14ac:dyDescent="0.35">
      <c r="A93" s="563">
        <v>136634</v>
      </c>
      <c r="B93" s="563">
        <v>8315412</v>
      </c>
      <c r="C93" s="564" t="s">
        <v>148</v>
      </c>
      <c r="D93" s="538" t="s">
        <v>199</v>
      </c>
      <c r="E93" s="565" t="s">
        <v>770</v>
      </c>
      <c r="F93" s="566">
        <v>1</v>
      </c>
      <c r="G93" s="552">
        <v>0</v>
      </c>
      <c r="H93" s="552">
        <v>0</v>
      </c>
      <c r="I93" s="552">
        <v>0</v>
      </c>
      <c r="J93" s="552">
        <v>5</v>
      </c>
      <c r="K93" s="552">
        <v>3</v>
      </c>
      <c r="L93" s="552">
        <v>2</v>
      </c>
      <c r="M93" s="552">
        <v>1460</v>
      </c>
      <c r="N93" s="552">
        <v>0</v>
      </c>
      <c r="O93" s="552">
        <v>0</v>
      </c>
      <c r="P93" s="552">
        <v>0</v>
      </c>
      <c r="Q93" s="552">
        <v>1460</v>
      </c>
      <c r="R93" s="552">
        <v>885</v>
      </c>
      <c r="S93" s="552">
        <v>575</v>
      </c>
      <c r="T93" s="552">
        <v>301</v>
      </c>
      <c r="U93" s="552">
        <v>295</v>
      </c>
      <c r="V93" s="552">
        <v>289</v>
      </c>
      <c r="W93" s="552">
        <v>284</v>
      </c>
      <c r="X93" s="552">
        <v>291</v>
      </c>
      <c r="Y93" s="552">
        <v>0</v>
      </c>
      <c r="Z93" s="552">
        <v>1460</v>
      </c>
      <c r="AA93" s="552">
        <v>292</v>
      </c>
      <c r="AB93" s="552">
        <v>0</v>
      </c>
      <c r="AC93" s="552">
        <v>0</v>
      </c>
      <c r="AD93" s="552">
        <v>349.9999999999996</v>
      </c>
      <c r="AE93" s="552">
        <v>377.00000000000034</v>
      </c>
      <c r="AF93" s="552">
        <v>0</v>
      </c>
      <c r="AG93" s="552">
        <v>0</v>
      </c>
      <c r="AH93" s="552">
        <v>0</v>
      </c>
      <c r="AI93" s="552">
        <v>0</v>
      </c>
      <c r="AJ93" s="552">
        <v>0</v>
      </c>
      <c r="AK93" s="552">
        <v>0</v>
      </c>
      <c r="AL93" s="552">
        <v>0</v>
      </c>
      <c r="AM93" s="552">
        <v>837.57368060315218</v>
      </c>
      <c r="AN93" s="552">
        <v>165.1130911583281</v>
      </c>
      <c r="AO93" s="552">
        <v>252.17272104181012</v>
      </c>
      <c r="AP93" s="552">
        <v>28.019191226867697</v>
      </c>
      <c r="AQ93" s="552">
        <v>164.11240575736758</v>
      </c>
      <c r="AR93" s="552">
        <v>6.0041124057573683</v>
      </c>
      <c r="AS93" s="552">
        <v>7.0047978067169243</v>
      </c>
      <c r="AT93" s="552">
        <v>0</v>
      </c>
      <c r="AU93" s="552">
        <v>9.0185312285518151</v>
      </c>
      <c r="AV93" s="552">
        <v>0</v>
      </c>
      <c r="AW93" s="552">
        <v>116.15771812080526</v>
      </c>
      <c r="AX93" s="552">
        <v>107.36394557823142</v>
      </c>
      <c r="AY93" s="552">
        <v>95.99650349650345</v>
      </c>
      <c r="AZ93" s="552">
        <v>94.335664335664291</v>
      </c>
      <c r="BA93" s="552">
        <v>100.99999999999991</v>
      </c>
      <c r="BB93" s="552">
        <v>295.75661855661548</v>
      </c>
      <c r="BC93" s="552">
        <v>0</v>
      </c>
      <c r="BD93" s="552">
        <v>0</v>
      </c>
      <c r="BE93" s="552">
        <v>0</v>
      </c>
      <c r="BF93" s="552">
        <v>3.01</v>
      </c>
      <c r="BG93" s="552">
        <v>0</v>
      </c>
      <c r="BH93" s="567">
        <v>1</v>
      </c>
      <c r="BI93" s="552">
        <v>0</v>
      </c>
      <c r="BJ93" s="552">
        <v>0</v>
      </c>
      <c r="BK93" s="552">
        <v>1</v>
      </c>
    </row>
    <row r="94" spans="1:63" ht="14.5" x14ac:dyDescent="0.35">
      <c r="A94" s="563">
        <v>137911</v>
      </c>
      <c r="B94" s="563">
        <v>8315414</v>
      </c>
      <c r="C94" s="564" t="s">
        <v>149</v>
      </c>
      <c r="D94" s="538" t="s">
        <v>199</v>
      </c>
      <c r="E94" s="565" t="s">
        <v>770</v>
      </c>
      <c r="F94" s="566">
        <v>1</v>
      </c>
      <c r="G94" s="552">
        <v>0</v>
      </c>
      <c r="H94" s="552">
        <v>0</v>
      </c>
      <c r="I94" s="552">
        <v>0</v>
      </c>
      <c r="J94" s="552">
        <v>5</v>
      </c>
      <c r="K94" s="552">
        <v>3</v>
      </c>
      <c r="L94" s="552">
        <v>2</v>
      </c>
      <c r="M94" s="552">
        <v>1188</v>
      </c>
      <c r="N94" s="552">
        <v>0</v>
      </c>
      <c r="O94" s="552">
        <v>0</v>
      </c>
      <c r="P94" s="552">
        <v>0</v>
      </c>
      <c r="Q94" s="552">
        <v>1188</v>
      </c>
      <c r="R94" s="552">
        <v>712</v>
      </c>
      <c r="S94" s="552">
        <v>476</v>
      </c>
      <c r="T94" s="552">
        <v>235</v>
      </c>
      <c r="U94" s="552">
        <v>243</v>
      </c>
      <c r="V94" s="552">
        <v>234</v>
      </c>
      <c r="W94" s="552">
        <v>239</v>
      </c>
      <c r="X94" s="552">
        <v>237</v>
      </c>
      <c r="Y94" s="552">
        <v>0</v>
      </c>
      <c r="Z94" s="552">
        <v>1188</v>
      </c>
      <c r="AA94" s="552">
        <v>237.6</v>
      </c>
      <c r="AB94" s="552">
        <v>0</v>
      </c>
      <c r="AC94" s="552">
        <v>0</v>
      </c>
      <c r="AD94" s="552">
        <v>235.00000000000023</v>
      </c>
      <c r="AE94" s="552">
        <v>253.00000000000003</v>
      </c>
      <c r="AF94" s="552">
        <v>0</v>
      </c>
      <c r="AG94" s="552">
        <v>0</v>
      </c>
      <c r="AH94" s="552">
        <v>0</v>
      </c>
      <c r="AI94" s="552">
        <v>0</v>
      </c>
      <c r="AJ94" s="552">
        <v>0</v>
      </c>
      <c r="AK94" s="552">
        <v>0</v>
      </c>
      <c r="AL94" s="552">
        <v>0</v>
      </c>
      <c r="AM94" s="552">
        <v>841.70850884582967</v>
      </c>
      <c r="AN94" s="552">
        <v>145.12215669755682</v>
      </c>
      <c r="AO94" s="552">
        <v>76.064026958719438</v>
      </c>
      <c r="AP94" s="552">
        <v>15.012636899747257</v>
      </c>
      <c r="AQ94" s="552">
        <v>54.045492839090123</v>
      </c>
      <c r="AR94" s="552">
        <v>15.012636899747257</v>
      </c>
      <c r="AS94" s="552">
        <v>41.034540859309161</v>
      </c>
      <c r="AT94" s="552">
        <v>0</v>
      </c>
      <c r="AU94" s="552">
        <v>25.02106149957876</v>
      </c>
      <c r="AV94" s="552">
        <v>0</v>
      </c>
      <c r="AW94" s="552">
        <v>69.592274678111579</v>
      </c>
      <c r="AX94" s="552">
        <v>80.999999999999915</v>
      </c>
      <c r="AY94" s="552">
        <v>79.130434782608589</v>
      </c>
      <c r="AZ94" s="552">
        <v>80.821256038647235</v>
      </c>
      <c r="BA94" s="552">
        <v>55.402597402597458</v>
      </c>
      <c r="BB94" s="552">
        <v>208.20918012584752</v>
      </c>
      <c r="BC94" s="552">
        <v>0</v>
      </c>
      <c r="BD94" s="552">
        <v>0</v>
      </c>
      <c r="BE94" s="552">
        <v>0</v>
      </c>
      <c r="BF94" s="552">
        <v>1.6559999999999999</v>
      </c>
      <c r="BG94" s="552">
        <v>0</v>
      </c>
      <c r="BH94" s="567">
        <v>0</v>
      </c>
      <c r="BI94" s="552">
        <v>0</v>
      </c>
      <c r="BJ94" s="552">
        <v>0</v>
      </c>
      <c r="BK94" s="552">
        <v>1</v>
      </c>
    </row>
    <row r="95" spans="1:63" ht="14.5" x14ac:dyDescent="0.35">
      <c r="A95" s="563">
        <v>135120</v>
      </c>
      <c r="B95" s="563">
        <v>8316905</v>
      </c>
      <c r="C95" s="564" t="s">
        <v>150</v>
      </c>
      <c r="D95" s="538" t="s">
        <v>199</v>
      </c>
      <c r="E95" s="565" t="s">
        <v>770</v>
      </c>
      <c r="F95" s="566">
        <v>1</v>
      </c>
      <c r="G95" s="552">
        <v>0</v>
      </c>
      <c r="H95" s="552">
        <v>0</v>
      </c>
      <c r="I95" s="552">
        <v>0</v>
      </c>
      <c r="J95" s="552">
        <v>5</v>
      </c>
      <c r="K95" s="552">
        <v>3</v>
      </c>
      <c r="L95" s="552">
        <v>2</v>
      </c>
      <c r="M95" s="552">
        <v>1057</v>
      </c>
      <c r="N95" s="552">
        <v>0</v>
      </c>
      <c r="O95" s="552">
        <v>0</v>
      </c>
      <c r="P95" s="552">
        <v>0</v>
      </c>
      <c r="Q95" s="552">
        <v>1057</v>
      </c>
      <c r="R95" s="552">
        <v>667</v>
      </c>
      <c r="S95" s="552">
        <v>390</v>
      </c>
      <c r="T95" s="552">
        <v>204</v>
      </c>
      <c r="U95" s="552">
        <v>202</v>
      </c>
      <c r="V95" s="552">
        <v>261</v>
      </c>
      <c r="W95" s="552">
        <v>196</v>
      </c>
      <c r="X95" s="552">
        <v>194</v>
      </c>
      <c r="Y95" s="552">
        <v>0</v>
      </c>
      <c r="Z95" s="552">
        <v>1057</v>
      </c>
      <c r="AA95" s="552">
        <v>211.4</v>
      </c>
      <c r="AB95" s="552">
        <v>0</v>
      </c>
      <c r="AC95" s="552">
        <v>0</v>
      </c>
      <c r="AD95" s="552">
        <v>292.00000000000045</v>
      </c>
      <c r="AE95" s="552">
        <v>384.99999999999949</v>
      </c>
      <c r="AF95" s="552">
        <v>0</v>
      </c>
      <c r="AG95" s="552">
        <v>0</v>
      </c>
      <c r="AH95" s="552">
        <v>0</v>
      </c>
      <c r="AI95" s="552">
        <v>0</v>
      </c>
      <c r="AJ95" s="552">
        <v>0</v>
      </c>
      <c r="AK95" s="552">
        <v>0</v>
      </c>
      <c r="AL95" s="552">
        <v>0</v>
      </c>
      <c r="AM95" s="552">
        <v>366.99999999999994</v>
      </c>
      <c r="AN95" s="552">
        <v>129.00000000000023</v>
      </c>
      <c r="AO95" s="552">
        <v>131.00000000000043</v>
      </c>
      <c r="AP95" s="552">
        <v>150.00000000000006</v>
      </c>
      <c r="AQ95" s="552">
        <v>134.99999999999974</v>
      </c>
      <c r="AR95" s="552">
        <v>85</v>
      </c>
      <c r="AS95" s="552">
        <v>60.000000000000028</v>
      </c>
      <c r="AT95" s="552">
        <v>0</v>
      </c>
      <c r="AU95" s="552">
        <v>21.000000000000032</v>
      </c>
      <c r="AV95" s="552">
        <v>0</v>
      </c>
      <c r="AW95" s="552">
        <v>65.28</v>
      </c>
      <c r="AX95" s="552">
        <v>64.64</v>
      </c>
      <c r="AY95" s="552">
        <v>82.088709677419345</v>
      </c>
      <c r="AZ95" s="552">
        <v>61.645161290322569</v>
      </c>
      <c r="BA95" s="552">
        <v>46.39130434782615</v>
      </c>
      <c r="BB95" s="552">
        <v>181.94856870616638</v>
      </c>
      <c r="BC95" s="552">
        <v>0</v>
      </c>
      <c r="BD95" s="552">
        <v>0</v>
      </c>
      <c r="BE95" s="552">
        <v>0</v>
      </c>
      <c r="BF95" s="552">
        <v>1.1259999999999999</v>
      </c>
      <c r="BG95" s="552">
        <v>0</v>
      </c>
      <c r="BH95" s="567">
        <v>0</v>
      </c>
      <c r="BI95" s="552">
        <v>0</v>
      </c>
      <c r="BJ95" s="552">
        <v>0</v>
      </c>
      <c r="BK95" s="552">
        <v>1</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2C53-69DA-4F9C-AB7B-371FA64206AE}">
  <sheetPr codeName="Sheet7">
    <tabColor rgb="FF7030A0"/>
  </sheetPr>
  <dimension ref="A1:EW100"/>
  <sheetViews>
    <sheetView zoomScaleNormal="100" workbookViewId="0">
      <pane xSplit="3" ySplit="9" topLeftCell="D90" activePane="bottomRight" state="frozen"/>
      <selection activeCell="M6" sqref="M6:N6"/>
      <selection pane="topRight" activeCell="M6" sqref="M6:N6"/>
      <selection pane="bottomLeft" activeCell="M6" sqref="M6:N6"/>
      <selection pane="bottomRight" activeCell="M6" sqref="M6:N6"/>
    </sheetView>
  </sheetViews>
  <sheetFormatPr defaultColWidth="9.1796875" defaultRowHeight="12.5" x14ac:dyDescent="0.25"/>
  <cols>
    <col min="1" max="1" width="10.7265625" style="2" customWidth="1"/>
    <col min="2" max="2" width="10.7265625" style="8" customWidth="1"/>
    <col min="3" max="3" width="56.54296875" style="2" bestFit="1" customWidth="1"/>
    <col min="4" max="4" width="10.7265625" style="2" customWidth="1"/>
    <col min="5" max="70" width="15.54296875" style="8" customWidth="1"/>
    <col min="71" max="71" width="18.54296875" style="8" customWidth="1"/>
    <col min="72" max="77" width="15.54296875" style="8" customWidth="1"/>
    <col min="78" max="78" width="11.26953125" style="2" customWidth="1"/>
    <col min="79" max="16384" width="9.1796875" style="2"/>
  </cols>
  <sheetData>
    <row r="1" spans="1:153" x14ac:dyDescent="0.25">
      <c r="E1" s="44"/>
      <c r="F1" s="44"/>
      <c r="G1" s="44"/>
      <c r="H1" s="44"/>
      <c r="I1" s="44"/>
      <c r="J1" s="44"/>
      <c r="K1" s="44"/>
      <c r="L1" s="44"/>
      <c r="M1" s="44"/>
      <c r="N1" s="44"/>
      <c r="O1" s="44"/>
      <c r="P1" s="44"/>
    </row>
    <row r="2" spans="1:153" x14ac:dyDescent="0.25">
      <c r="E2" s="44"/>
      <c r="F2" s="44"/>
      <c r="G2" s="44"/>
    </row>
    <row r="3" spans="1:153" x14ac:dyDescent="0.25">
      <c r="C3" s="7"/>
      <c r="E3" s="15"/>
      <c r="F3" s="15"/>
      <c r="G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row>
    <row r="6" spans="1:153" x14ac:dyDescent="0.25">
      <c r="A6" s="7">
        <v>1</v>
      </c>
      <c r="B6" s="15">
        <v>2</v>
      </c>
      <c r="C6" s="7">
        <v>3</v>
      </c>
      <c r="D6" s="7">
        <v>4</v>
      </c>
      <c r="E6" s="15">
        <v>5</v>
      </c>
      <c r="F6" s="7">
        <v>6</v>
      </c>
      <c r="G6" s="7">
        <v>7</v>
      </c>
      <c r="H6" s="15">
        <v>8</v>
      </c>
      <c r="I6" s="7">
        <v>9</v>
      </c>
      <c r="J6" s="7">
        <v>10</v>
      </c>
      <c r="K6" s="15">
        <v>11</v>
      </c>
      <c r="L6" s="7">
        <v>12</v>
      </c>
      <c r="M6" s="7">
        <v>13</v>
      </c>
      <c r="N6" s="15">
        <v>14</v>
      </c>
      <c r="O6" s="7">
        <v>15</v>
      </c>
      <c r="P6" s="7">
        <v>16</v>
      </c>
      <c r="Q6" s="15">
        <v>17</v>
      </c>
      <c r="R6" s="7">
        <v>18</v>
      </c>
      <c r="S6" s="7">
        <v>19</v>
      </c>
      <c r="T6" s="15">
        <v>20</v>
      </c>
      <c r="U6" s="7">
        <v>21</v>
      </c>
      <c r="V6" s="7">
        <v>22</v>
      </c>
      <c r="W6" s="15">
        <v>23</v>
      </c>
      <c r="X6" s="7">
        <v>24</v>
      </c>
      <c r="Y6" s="7">
        <v>25</v>
      </c>
      <c r="Z6" s="15">
        <v>26</v>
      </c>
      <c r="AA6" s="7">
        <v>27</v>
      </c>
      <c r="AB6" s="7">
        <v>28</v>
      </c>
      <c r="AC6" s="15">
        <v>29</v>
      </c>
      <c r="AD6" s="7">
        <v>30</v>
      </c>
      <c r="AE6" s="7">
        <v>31</v>
      </c>
      <c r="AF6" s="15">
        <v>32</v>
      </c>
      <c r="AG6" s="7">
        <v>33</v>
      </c>
      <c r="AH6" s="7">
        <v>34</v>
      </c>
      <c r="AI6" s="15">
        <v>35</v>
      </c>
      <c r="AJ6" s="7">
        <v>36</v>
      </c>
      <c r="AK6" s="7">
        <v>37</v>
      </c>
      <c r="AL6" s="15">
        <v>38</v>
      </c>
      <c r="AM6" s="7">
        <v>39</v>
      </c>
      <c r="AN6" s="7">
        <v>40</v>
      </c>
      <c r="AO6" s="15">
        <v>41</v>
      </c>
      <c r="AP6" s="7">
        <v>42</v>
      </c>
      <c r="AQ6" s="7">
        <v>43</v>
      </c>
      <c r="AR6" s="15">
        <v>44</v>
      </c>
      <c r="AS6" s="7">
        <v>45</v>
      </c>
      <c r="AT6" s="7">
        <v>46</v>
      </c>
      <c r="AU6" s="15">
        <v>47</v>
      </c>
      <c r="AV6" s="7">
        <v>48</v>
      </c>
      <c r="AW6" s="7">
        <v>49</v>
      </c>
      <c r="AX6" s="15">
        <v>50</v>
      </c>
      <c r="AY6" s="7">
        <v>51</v>
      </c>
      <c r="AZ6" s="7">
        <v>52</v>
      </c>
      <c r="BA6" s="15">
        <v>53</v>
      </c>
      <c r="BB6" s="7">
        <v>54</v>
      </c>
      <c r="BC6" s="7">
        <v>55</v>
      </c>
      <c r="BD6" s="15">
        <v>56</v>
      </c>
      <c r="BE6" s="7">
        <v>57</v>
      </c>
      <c r="BF6" s="7">
        <v>58</v>
      </c>
      <c r="BG6" s="15">
        <v>59</v>
      </c>
      <c r="BH6" s="7">
        <v>60</v>
      </c>
      <c r="BI6" s="7">
        <v>61</v>
      </c>
      <c r="BJ6" s="15">
        <v>62</v>
      </c>
      <c r="BK6" s="7">
        <v>63</v>
      </c>
      <c r="BL6" s="7">
        <v>64</v>
      </c>
      <c r="BM6" s="15">
        <v>65</v>
      </c>
      <c r="BN6" s="7">
        <v>66</v>
      </c>
      <c r="BO6" s="7">
        <v>67</v>
      </c>
      <c r="BP6" s="15">
        <v>68</v>
      </c>
      <c r="BQ6" s="7">
        <v>69</v>
      </c>
      <c r="BR6" s="7">
        <v>70</v>
      </c>
      <c r="BS6" s="15">
        <v>71</v>
      </c>
      <c r="BT6" s="7">
        <v>72</v>
      </c>
      <c r="BU6" s="7">
        <v>73</v>
      </c>
      <c r="BV6" s="15">
        <v>74</v>
      </c>
      <c r="BW6" s="7">
        <v>75</v>
      </c>
      <c r="BX6" s="7">
        <v>76</v>
      </c>
      <c r="BY6" s="15">
        <v>77</v>
      </c>
      <c r="BZ6" s="8"/>
      <c r="CB6" s="8"/>
      <c r="CC6" s="8"/>
    </row>
    <row r="7" spans="1:153" ht="13" thickBot="1" x14ac:dyDescent="0.3">
      <c r="A7" s="7"/>
      <c r="B7" s="15"/>
      <c r="C7" s="7"/>
      <c r="D7" s="7"/>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8"/>
      <c r="CB7" s="8"/>
      <c r="CC7" s="8"/>
    </row>
    <row r="8" spans="1:153" s="7" customFormat="1" ht="103.9" customHeight="1" x14ac:dyDescent="0.25">
      <c r="A8" s="12" t="s">
        <v>270</v>
      </c>
      <c r="B8" s="19" t="s">
        <v>0</v>
      </c>
      <c r="C8" s="20" t="s">
        <v>1</v>
      </c>
      <c r="D8" s="12" t="s">
        <v>270</v>
      </c>
      <c r="E8" s="19" t="s">
        <v>780</v>
      </c>
      <c r="F8" s="19" t="s">
        <v>781</v>
      </c>
      <c r="G8" s="19" t="s">
        <v>782</v>
      </c>
      <c r="H8" s="19" t="s">
        <v>271</v>
      </c>
      <c r="I8" s="19" t="s">
        <v>272</v>
      </c>
      <c r="J8" s="19" t="s">
        <v>273</v>
      </c>
      <c r="K8" s="19" t="s">
        <v>274</v>
      </c>
      <c r="L8" s="19" t="s">
        <v>275</v>
      </c>
      <c r="M8" s="19" t="s">
        <v>276</v>
      </c>
      <c r="N8" s="19" t="s">
        <v>277</v>
      </c>
      <c r="O8" s="19" t="s">
        <v>278</v>
      </c>
      <c r="P8" s="19" t="s">
        <v>279</v>
      </c>
      <c r="Q8" s="19" t="s">
        <v>280</v>
      </c>
      <c r="R8" s="19" t="s">
        <v>281</v>
      </c>
      <c r="S8" s="19" t="s">
        <v>282</v>
      </c>
      <c r="T8" s="19" t="s">
        <v>283</v>
      </c>
      <c r="U8" s="19" t="s">
        <v>284</v>
      </c>
      <c r="V8" s="19" t="s">
        <v>285</v>
      </c>
      <c r="W8" s="19" t="s">
        <v>286</v>
      </c>
      <c r="X8" s="19" t="s">
        <v>287</v>
      </c>
      <c r="Y8" s="19" t="s">
        <v>288</v>
      </c>
      <c r="Z8" s="19" t="s">
        <v>289</v>
      </c>
      <c r="AA8" s="19" t="s">
        <v>290</v>
      </c>
      <c r="AB8" s="19" t="s">
        <v>291</v>
      </c>
      <c r="AC8" s="19" t="s">
        <v>292</v>
      </c>
      <c r="AD8" s="19" t="s">
        <v>293</v>
      </c>
      <c r="AE8" s="19" t="s">
        <v>294</v>
      </c>
      <c r="AF8" s="19" t="s">
        <v>295</v>
      </c>
      <c r="AG8" s="19" t="s">
        <v>296</v>
      </c>
      <c r="AH8" s="19" t="s">
        <v>297</v>
      </c>
      <c r="AI8" s="19" t="s">
        <v>4</v>
      </c>
      <c r="AJ8" s="19" t="s">
        <v>298</v>
      </c>
      <c r="AK8" s="19" t="s">
        <v>323</v>
      </c>
      <c r="AL8" s="19" t="s">
        <v>182</v>
      </c>
      <c r="AM8" s="19" t="s">
        <v>783</v>
      </c>
      <c r="AN8" s="19" t="s">
        <v>784</v>
      </c>
      <c r="AO8" s="19" t="s">
        <v>785</v>
      </c>
      <c r="AP8" s="19" t="s">
        <v>786</v>
      </c>
      <c r="AQ8" s="19" t="s">
        <v>787</v>
      </c>
      <c r="AR8" s="19" t="s">
        <v>788</v>
      </c>
      <c r="AS8" s="19" t="s">
        <v>789</v>
      </c>
      <c r="AT8" s="19" t="s">
        <v>299</v>
      </c>
      <c r="AU8" s="19" t="s">
        <v>300</v>
      </c>
      <c r="AV8" s="19" t="s">
        <v>301</v>
      </c>
      <c r="AW8" s="19" t="s">
        <v>302</v>
      </c>
      <c r="AX8" s="19" t="s">
        <v>303</v>
      </c>
      <c r="AY8" s="19" t="s">
        <v>304</v>
      </c>
      <c r="AZ8" s="19" t="s">
        <v>305</v>
      </c>
      <c r="BA8" s="19" t="s">
        <v>306</v>
      </c>
      <c r="BB8" s="19" t="s">
        <v>307</v>
      </c>
      <c r="BC8" s="19" t="s">
        <v>308</v>
      </c>
      <c r="BD8" s="19" t="s">
        <v>309</v>
      </c>
      <c r="BE8" s="19" t="s">
        <v>310</v>
      </c>
      <c r="BF8" s="19" t="s">
        <v>311</v>
      </c>
      <c r="BG8" s="19" t="s">
        <v>790</v>
      </c>
      <c r="BH8" s="19" t="s">
        <v>312</v>
      </c>
      <c r="BI8" s="19" t="s">
        <v>791</v>
      </c>
      <c r="BJ8" s="19" t="s">
        <v>792</v>
      </c>
      <c r="BK8" s="19" t="s">
        <v>313</v>
      </c>
      <c r="BL8" s="19" t="s">
        <v>314</v>
      </c>
      <c r="BM8" s="19" t="s">
        <v>315</v>
      </c>
      <c r="BN8" s="19" t="s">
        <v>793</v>
      </c>
      <c r="BO8" s="19" t="s">
        <v>794</v>
      </c>
      <c r="BP8" s="21" t="s">
        <v>316</v>
      </c>
      <c r="BQ8" s="22" t="s">
        <v>317</v>
      </c>
      <c r="BR8" s="23" t="s">
        <v>795</v>
      </c>
      <c r="BS8" s="19" t="s">
        <v>318</v>
      </c>
      <c r="BT8" s="19" t="s">
        <v>319</v>
      </c>
      <c r="BU8" s="19" t="s">
        <v>320</v>
      </c>
      <c r="BV8" s="19" t="s">
        <v>321</v>
      </c>
      <c r="BW8" s="19" t="s">
        <v>322</v>
      </c>
      <c r="BX8" s="19" t="s">
        <v>796</v>
      </c>
      <c r="BY8" s="19" t="s">
        <v>797</v>
      </c>
      <c r="BZ8" s="2"/>
    </row>
    <row r="9" spans="1:153" s="543" customFormat="1" ht="12.75" customHeight="1" x14ac:dyDescent="0.35">
      <c r="A9" s="543" t="s">
        <v>1203</v>
      </c>
      <c r="B9" s="548" t="s">
        <v>197</v>
      </c>
      <c r="C9" s="549" t="s">
        <v>754</v>
      </c>
      <c r="D9" s="543" t="s">
        <v>1203</v>
      </c>
      <c r="E9" s="544">
        <v>41160.33</v>
      </c>
      <c r="F9" s="544">
        <v>23413.75</v>
      </c>
      <c r="G9" s="544">
        <v>17746.580000000002</v>
      </c>
      <c r="H9" s="545">
        <v>90072696.25</v>
      </c>
      <c r="I9" s="545">
        <v>58696294.759999998</v>
      </c>
      <c r="J9" s="545">
        <v>42308073</v>
      </c>
      <c r="K9" s="545">
        <v>4247488.657289003</v>
      </c>
      <c r="L9" s="545">
        <v>2993976.0321428571</v>
      </c>
      <c r="M9" s="545">
        <v>9252011.0805626605</v>
      </c>
      <c r="N9" s="545">
        <v>10338693.65456811</v>
      </c>
      <c r="O9" s="545">
        <v>643991.39122728212</v>
      </c>
      <c r="P9" s="545">
        <v>952778.80023821676</v>
      </c>
      <c r="Q9" s="545">
        <v>865214.04829902202</v>
      </c>
      <c r="R9" s="545">
        <v>1158869.4304981495</v>
      </c>
      <c r="S9" s="545">
        <v>1025420.3807103587</v>
      </c>
      <c r="T9" s="545">
        <v>958802.68071313819</v>
      </c>
      <c r="U9" s="545">
        <v>691579.76039818279</v>
      </c>
      <c r="V9" s="545">
        <v>978852.58033443778</v>
      </c>
      <c r="W9" s="545">
        <v>867269.85131450323</v>
      </c>
      <c r="X9" s="545">
        <v>1177391.1101733327</v>
      </c>
      <c r="Y9" s="545">
        <v>1061416.679112674</v>
      </c>
      <c r="Z9" s="545">
        <v>1009259.4704248736</v>
      </c>
      <c r="AA9" s="545">
        <v>3065704.8608482475</v>
      </c>
      <c r="AB9" s="545">
        <v>1277436.7574061516</v>
      </c>
      <c r="AC9" s="545">
        <v>9302870.6552733146</v>
      </c>
      <c r="AD9" s="545">
        <v>7794647.2344879145</v>
      </c>
      <c r="AE9" s="545">
        <v>537463.51004559535</v>
      </c>
      <c r="AF9" s="545">
        <v>265522.37226861104</v>
      </c>
      <c r="AG9" s="545">
        <v>13059000</v>
      </c>
      <c r="AH9" s="545">
        <v>0</v>
      </c>
      <c r="AI9" s="545">
        <v>0</v>
      </c>
      <c r="AJ9" s="545">
        <v>0</v>
      </c>
      <c r="AK9" s="545">
        <v>1580086</v>
      </c>
      <c r="AL9" s="545">
        <v>1372680</v>
      </c>
      <c r="AM9" s="545">
        <v>0</v>
      </c>
      <c r="AN9" s="545">
        <v>0</v>
      </c>
      <c r="AO9" s="545">
        <v>0</v>
      </c>
      <c r="AP9" s="545">
        <v>0</v>
      </c>
      <c r="AQ9" s="545">
        <v>0</v>
      </c>
      <c r="AR9" s="545">
        <v>0</v>
      </c>
      <c r="AS9" s="545">
        <v>0</v>
      </c>
      <c r="AT9" s="545">
        <v>191077064.00999999</v>
      </c>
      <c r="AU9" s="545">
        <v>60466660.998336636</v>
      </c>
      <c r="AV9" s="545">
        <v>16011766</v>
      </c>
      <c r="AW9" s="545">
        <v>41683427.463315494</v>
      </c>
      <c r="AX9" s="545">
        <v>267555491.00833669</v>
      </c>
      <c r="AY9" s="545">
        <v>264602725.00833663</v>
      </c>
      <c r="BA9" s="546">
        <v>230165541.94999999</v>
      </c>
      <c r="BB9" s="545">
        <v>737707.89342891425</v>
      </c>
      <c r="BC9" s="545">
        <v>0</v>
      </c>
      <c r="BD9" s="545">
        <v>268293198.90176561</v>
      </c>
      <c r="BE9" s="545">
        <v>134942052.94385487</v>
      </c>
      <c r="BF9" s="545">
        <v>133351145.95791063</v>
      </c>
      <c r="BG9" s="545">
        <v>233118307.94999999</v>
      </c>
      <c r="BH9" s="546"/>
      <c r="BI9" s="545">
        <v>252281432.90176556</v>
      </c>
      <c r="BJ9" s="545">
        <v>504689.63240240217</v>
      </c>
      <c r="BK9" s="545">
        <v>494646.93811276654</v>
      </c>
      <c r="BL9" s="546"/>
      <c r="BM9" s="546"/>
      <c r="BN9" s="545">
        <v>-3029999.9176208302</v>
      </c>
      <c r="BO9" s="545">
        <v>265263198.98414475</v>
      </c>
      <c r="BP9" s="546"/>
      <c r="BQ9" s="546"/>
      <c r="BR9" s="546"/>
      <c r="BS9" s="546"/>
      <c r="BT9" s="545">
        <v>-791437.74900000007</v>
      </c>
      <c r="BU9" s="545">
        <v>264471761.23514479</v>
      </c>
      <c r="BV9" s="545">
        <v>0</v>
      </c>
      <c r="BW9" s="545">
        <v>264471761.23514479</v>
      </c>
      <c r="BX9" s="545">
        <v>1580086</v>
      </c>
      <c r="BY9" s="545">
        <v>262891675.23514479</v>
      </c>
      <c r="BZ9" s="58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s="547"/>
      <c r="EW9" s="547"/>
    </row>
    <row r="10" spans="1:153" ht="14.5" x14ac:dyDescent="0.35">
      <c r="A10" s="537">
        <v>131401</v>
      </c>
      <c r="B10" s="537">
        <v>8312001</v>
      </c>
      <c r="C10" s="538" t="s">
        <v>62</v>
      </c>
      <c r="D10" s="537">
        <v>131401</v>
      </c>
      <c r="E10" s="539">
        <v>336</v>
      </c>
      <c r="F10" s="539">
        <v>336</v>
      </c>
      <c r="G10" s="539">
        <v>0</v>
      </c>
      <c r="H10" s="540">
        <v>1292592</v>
      </c>
      <c r="I10" s="540">
        <v>0</v>
      </c>
      <c r="J10" s="540">
        <v>0</v>
      </c>
      <c r="K10" s="540">
        <v>71775</v>
      </c>
      <c r="L10" s="540">
        <v>0</v>
      </c>
      <c r="M10" s="540">
        <v>158999.99999999985</v>
      </c>
      <c r="N10" s="540">
        <v>0</v>
      </c>
      <c r="O10" s="540">
        <v>15275.000000000004</v>
      </c>
      <c r="P10" s="540">
        <v>13964.999999999969</v>
      </c>
      <c r="Q10" s="540">
        <v>11125</v>
      </c>
      <c r="R10" s="540">
        <v>979.99999999999966</v>
      </c>
      <c r="S10" s="540">
        <v>41080.000000000065</v>
      </c>
      <c r="T10" s="540">
        <v>52745.00000000008</v>
      </c>
      <c r="U10" s="540">
        <v>0</v>
      </c>
      <c r="V10" s="540">
        <v>0</v>
      </c>
      <c r="W10" s="540">
        <v>0</v>
      </c>
      <c r="X10" s="540">
        <v>0</v>
      </c>
      <c r="Y10" s="540">
        <v>0</v>
      </c>
      <c r="Z10" s="540">
        <v>0</v>
      </c>
      <c r="AA10" s="540">
        <v>11481.891891891886</v>
      </c>
      <c r="AB10" s="540">
        <v>0</v>
      </c>
      <c r="AC10" s="540">
        <v>151886.16013698932</v>
      </c>
      <c r="AD10" s="540">
        <v>0</v>
      </c>
      <c r="AE10" s="540">
        <v>0</v>
      </c>
      <c r="AF10" s="540">
        <v>0</v>
      </c>
      <c r="AG10" s="540">
        <v>145100</v>
      </c>
      <c r="AH10" s="540">
        <v>0</v>
      </c>
      <c r="AI10" s="540">
        <v>0</v>
      </c>
      <c r="AJ10" s="540">
        <v>0</v>
      </c>
      <c r="AK10" s="540">
        <v>34852</v>
      </c>
      <c r="AL10" s="540">
        <v>0</v>
      </c>
      <c r="AM10" s="540">
        <v>0</v>
      </c>
      <c r="AN10" s="540">
        <v>0</v>
      </c>
      <c r="AO10" s="540">
        <v>0</v>
      </c>
      <c r="AP10" s="540">
        <v>0</v>
      </c>
      <c r="AQ10" s="540">
        <v>0</v>
      </c>
      <c r="AR10" s="540">
        <v>0</v>
      </c>
      <c r="AS10" s="540">
        <v>0</v>
      </c>
      <c r="AT10" s="540">
        <v>1292592</v>
      </c>
      <c r="AU10" s="540">
        <v>529313.05202888115</v>
      </c>
      <c r="AV10" s="540">
        <v>179952</v>
      </c>
      <c r="AW10" s="540">
        <v>337688.43684688176</v>
      </c>
      <c r="AX10" s="541">
        <v>2001857.0520288812</v>
      </c>
      <c r="AY10" s="541">
        <v>1967005.0520288812</v>
      </c>
      <c r="AZ10" s="541">
        <v>4955</v>
      </c>
      <c r="BA10" s="541">
        <v>1664880</v>
      </c>
      <c r="BB10" s="541">
        <v>0</v>
      </c>
      <c r="BC10" s="541">
        <v>0</v>
      </c>
      <c r="BD10" s="541">
        <v>2001857.0520288812</v>
      </c>
      <c r="BE10" s="540">
        <v>2001857.0520288809</v>
      </c>
      <c r="BF10" s="540">
        <v>0</v>
      </c>
      <c r="BG10" s="541">
        <v>1699732</v>
      </c>
      <c r="BH10" s="541">
        <v>1519780</v>
      </c>
      <c r="BI10" s="540">
        <v>1821905.0520288812</v>
      </c>
      <c r="BJ10" s="540">
        <v>5422.3364643716704</v>
      </c>
      <c r="BK10" s="540">
        <v>5345.1323919308352</v>
      </c>
      <c r="BL10" s="542">
        <v>1.444380920431171E-2</v>
      </c>
      <c r="BM10" s="542">
        <v>-7.5425368763959652E-3</v>
      </c>
      <c r="BN10" s="540">
        <v>-13546.128346919917</v>
      </c>
      <c r="BO10" s="541">
        <v>1988310.9236819611</v>
      </c>
      <c r="BP10" s="541">
        <v>5813.8658442915512</v>
      </c>
      <c r="BQ10" s="541" t="s">
        <v>771</v>
      </c>
      <c r="BR10" s="541">
        <v>5917.5920347677411</v>
      </c>
      <c r="BS10" s="542">
        <v>9.186306184501003E-3</v>
      </c>
      <c r="BT10" s="540">
        <v>-26117.280000000002</v>
      </c>
      <c r="BU10" s="540">
        <v>1962193.6436819611</v>
      </c>
      <c r="BV10" s="540">
        <v>0</v>
      </c>
      <c r="BW10" s="540">
        <v>1962193.6436819611</v>
      </c>
      <c r="BX10" s="540">
        <v>34852</v>
      </c>
      <c r="BY10" s="540">
        <v>1927341.6436819611</v>
      </c>
      <c r="CA10" s="10"/>
    </row>
    <row r="11" spans="1:153" ht="14.5" x14ac:dyDescent="0.35">
      <c r="A11" s="537">
        <v>131799</v>
      </c>
      <c r="B11" s="537">
        <v>8312003</v>
      </c>
      <c r="C11" s="538" t="s">
        <v>63</v>
      </c>
      <c r="D11" s="537">
        <v>131799</v>
      </c>
      <c r="E11" s="539">
        <v>197</v>
      </c>
      <c r="F11" s="539">
        <v>197</v>
      </c>
      <c r="G11" s="539">
        <v>0</v>
      </c>
      <c r="H11" s="540">
        <v>757859</v>
      </c>
      <c r="I11" s="540">
        <v>0</v>
      </c>
      <c r="J11" s="540">
        <v>0</v>
      </c>
      <c r="K11" s="540">
        <v>11385</v>
      </c>
      <c r="L11" s="540">
        <v>0</v>
      </c>
      <c r="M11" s="540">
        <v>25440.000000000065</v>
      </c>
      <c r="N11" s="540">
        <v>0</v>
      </c>
      <c r="O11" s="540">
        <v>705.00000000000068</v>
      </c>
      <c r="P11" s="540">
        <v>285.00000000000023</v>
      </c>
      <c r="Q11" s="540">
        <v>445.0000000000004</v>
      </c>
      <c r="R11" s="540">
        <v>0</v>
      </c>
      <c r="S11" s="540">
        <v>0</v>
      </c>
      <c r="T11" s="540">
        <v>0</v>
      </c>
      <c r="U11" s="540">
        <v>0</v>
      </c>
      <c r="V11" s="540">
        <v>0</v>
      </c>
      <c r="W11" s="540">
        <v>0</v>
      </c>
      <c r="X11" s="540">
        <v>0</v>
      </c>
      <c r="Y11" s="540">
        <v>0</v>
      </c>
      <c r="Z11" s="540">
        <v>0</v>
      </c>
      <c r="AA11" s="540">
        <v>1403.7724550898183</v>
      </c>
      <c r="AB11" s="540">
        <v>0</v>
      </c>
      <c r="AC11" s="540">
        <v>43398.575263266554</v>
      </c>
      <c r="AD11" s="540">
        <v>0</v>
      </c>
      <c r="AE11" s="540">
        <v>0</v>
      </c>
      <c r="AF11" s="540">
        <v>0</v>
      </c>
      <c r="AG11" s="540">
        <v>145100</v>
      </c>
      <c r="AH11" s="540">
        <v>0</v>
      </c>
      <c r="AI11" s="540">
        <v>0</v>
      </c>
      <c r="AJ11" s="540">
        <v>0</v>
      </c>
      <c r="AK11" s="540">
        <v>36515</v>
      </c>
      <c r="AL11" s="540">
        <v>0</v>
      </c>
      <c r="AM11" s="540">
        <v>0</v>
      </c>
      <c r="AN11" s="540">
        <v>0</v>
      </c>
      <c r="AO11" s="540">
        <v>0</v>
      </c>
      <c r="AP11" s="540">
        <v>0</v>
      </c>
      <c r="AQ11" s="540">
        <v>0</v>
      </c>
      <c r="AR11" s="540">
        <v>0</v>
      </c>
      <c r="AS11" s="540">
        <v>0</v>
      </c>
      <c r="AT11" s="540">
        <v>757859</v>
      </c>
      <c r="AU11" s="540">
        <v>83062.347718356439</v>
      </c>
      <c r="AV11" s="540">
        <v>181615</v>
      </c>
      <c r="AW11" s="540">
        <v>118987.98139066694</v>
      </c>
      <c r="AX11" s="541">
        <v>1022536.3477183564</v>
      </c>
      <c r="AY11" s="541">
        <v>986021.34771835641</v>
      </c>
      <c r="AZ11" s="541">
        <v>4955</v>
      </c>
      <c r="BA11" s="541">
        <v>976135</v>
      </c>
      <c r="BB11" s="541">
        <v>0</v>
      </c>
      <c r="BC11" s="541">
        <v>0</v>
      </c>
      <c r="BD11" s="541">
        <v>1022536.3477183564</v>
      </c>
      <c r="BE11" s="540">
        <v>1022536.3477183565</v>
      </c>
      <c r="BF11" s="540">
        <v>0</v>
      </c>
      <c r="BG11" s="541">
        <v>1012650</v>
      </c>
      <c r="BH11" s="541">
        <v>831035</v>
      </c>
      <c r="BI11" s="540">
        <v>840921.34771835641</v>
      </c>
      <c r="BJ11" s="540">
        <v>4268.6362828342963</v>
      </c>
      <c r="BK11" s="540">
        <v>4246.1626794258373</v>
      </c>
      <c r="BL11" s="542">
        <v>5.2926854445194847E-3</v>
      </c>
      <c r="BM11" s="542">
        <v>0</v>
      </c>
      <c r="BN11" s="540">
        <v>0</v>
      </c>
      <c r="BO11" s="541">
        <v>1022536.3477183564</v>
      </c>
      <c r="BP11" s="541">
        <v>5005.1845061845506</v>
      </c>
      <c r="BQ11" s="541" t="s">
        <v>771</v>
      </c>
      <c r="BR11" s="541">
        <v>5190.5398361337893</v>
      </c>
      <c r="BS11" s="542">
        <v>1.4741718450607566E-2</v>
      </c>
      <c r="BT11" s="540">
        <v>-15312.810000000001</v>
      </c>
      <c r="BU11" s="540">
        <v>1007223.5377183564</v>
      </c>
      <c r="BV11" s="540">
        <v>0</v>
      </c>
      <c r="BW11" s="540">
        <v>1007223.5377183564</v>
      </c>
      <c r="BX11" s="540">
        <v>36515</v>
      </c>
      <c r="BY11" s="540">
        <v>970708.53771835635</v>
      </c>
      <c r="CA11" s="10"/>
    </row>
    <row r="12" spans="1:153" ht="14.5" x14ac:dyDescent="0.35">
      <c r="A12" s="537">
        <v>131685</v>
      </c>
      <c r="B12" s="537">
        <v>8312005</v>
      </c>
      <c r="C12" s="538" t="s">
        <v>64</v>
      </c>
      <c r="D12" s="537">
        <v>131685</v>
      </c>
      <c r="E12" s="539">
        <v>311</v>
      </c>
      <c r="F12" s="539">
        <v>311</v>
      </c>
      <c r="G12" s="539">
        <v>0</v>
      </c>
      <c r="H12" s="540">
        <v>1196417</v>
      </c>
      <c r="I12" s="540">
        <v>0</v>
      </c>
      <c r="J12" s="540">
        <v>0</v>
      </c>
      <c r="K12" s="540">
        <v>54450.00000000008</v>
      </c>
      <c r="L12" s="540">
        <v>0</v>
      </c>
      <c r="M12" s="540">
        <v>120840.00000000013</v>
      </c>
      <c r="N12" s="540">
        <v>0</v>
      </c>
      <c r="O12" s="540">
        <v>15510.000000000007</v>
      </c>
      <c r="P12" s="540">
        <v>34485.000000000029</v>
      </c>
      <c r="Q12" s="540">
        <v>445.00000000000051</v>
      </c>
      <c r="R12" s="540">
        <v>10780</v>
      </c>
      <c r="S12" s="540">
        <v>23919.999999999971</v>
      </c>
      <c r="T12" s="540">
        <v>30825.000000000025</v>
      </c>
      <c r="U12" s="540">
        <v>0</v>
      </c>
      <c r="V12" s="540">
        <v>0</v>
      </c>
      <c r="W12" s="540">
        <v>0</v>
      </c>
      <c r="X12" s="540">
        <v>0</v>
      </c>
      <c r="Y12" s="540">
        <v>0</v>
      </c>
      <c r="Z12" s="540">
        <v>0</v>
      </c>
      <c r="AA12" s="540">
        <v>27826.315789473672</v>
      </c>
      <c r="AB12" s="540">
        <v>0</v>
      </c>
      <c r="AC12" s="540">
        <v>107157.15242346931</v>
      </c>
      <c r="AD12" s="540">
        <v>0</v>
      </c>
      <c r="AE12" s="540">
        <v>7083.0999999999867</v>
      </c>
      <c r="AF12" s="540">
        <v>0</v>
      </c>
      <c r="AG12" s="540">
        <v>145100</v>
      </c>
      <c r="AH12" s="540">
        <v>0</v>
      </c>
      <c r="AI12" s="540">
        <v>0</v>
      </c>
      <c r="AJ12" s="540">
        <v>0</v>
      </c>
      <c r="AK12" s="540">
        <v>28057</v>
      </c>
      <c r="AL12" s="540">
        <v>0</v>
      </c>
      <c r="AM12" s="540">
        <v>0</v>
      </c>
      <c r="AN12" s="540">
        <v>0</v>
      </c>
      <c r="AO12" s="540">
        <v>0</v>
      </c>
      <c r="AP12" s="540">
        <v>0</v>
      </c>
      <c r="AQ12" s="540">
        <v>0</v>
      </c>
      <c r="AR12" s="540">
        <v>0</v>
      </c>
      <c r="AS12" s="540">
        <v>0</v>
      </c>
      <c r="AT12" s="540">
        <v>1196417</v>
      </c>
      <c r="AU12" s="540">
        <v>433321.56821294315</v>
      </c>
      <c r="AV12" s="540">
        <v>173157</v>
      </c>
      <c r="AW12" s="540">
        <v>299023.1486302531</v>
      </c>
      <c r="AX12" s="541">
        <v>1802895.5682129432</v>
      </c>
      <c r="AY12" s="541">
        <v>1774838.5682129432</v>
      </c>
      <c r="AZ12" s="541">
        <v>4955</v>
      </c>
      <c r="BA12" s="541">
        <v>1541005</v>
      </c>
      <c r="BB12" s="541">
        <v>0</v>
      </c>
      <c r="BC12" s="541">
        <v>0</v>
      </c>
      <c r="BD12" s="541">
        <v>1802895.5682129432</v>
      </c>
      <c r="BE12" s="540">
        <v>1802895.5682129434</v>
      </c>
      <c r="BF12" s="540">
        <v>0</v>
      </c>
      <c r="BG12" s="541">
        <v>1569062</v>
      </c>
      <c r="BH12" s="541">
        <v>1395905</v>
      </c>
      <c r="BI12" s="540">
        <v>1629738.5682129432</v>
      </c>
      <c r="BJ12" s="540">
        <v>5240.3169395914574</v>
      </c>
      <c r="BK12" s="540">
        <v>5239.5821086261976</v>
      </c>
      <c r="BL12" s="542">
        <v>1.4024610169769046E-4</v>
      </c>
      <c r="BM12" s="542">
        <v>0</v>
      </c>
      <c r="BN12" s="540">
        <v>0</v>
      </c>
      <c r="BO12" s="541">
        <v>1802895.5682129432</v>
      </c>
      <c r="BP12" s="541">
        <v>5706.8764251220036</v>
      </c>
      <c r="BQ12" s="541" t="s">
        <v>771</v>
      </c>
      <c r="BR12" s="541">
        <v>5797.091859205605</v>
      </c>
      <c r="BS12" s="542">
        <v>7.410058446222223E-4</v>
      </c>
      <c r="BT12" s="540">
        <v>-24174.030000000002</v>
      </c>
      <c r="BU12" s="540">
        <v>1778721.5382129431</v>
      </c>
      <c r="BV12" s="540">
        <v>0</v>
      </c>
      <c r="BW12" s="540">
        <v>1778721.5382129431</v>
      </c>
      <c r="BX12" s="540">
        <v>28057</v>
      </c>
      <c r="BY12" s="540">
        <v>1750664.5382129431</v>
      </c>
      <c r="CA12" s="10"/>
    </row>
    <row r="13" spans="1:153" ht="14.5" x14ac:dyDescent="0.35">
      <c r="A13" s="537">
        <v>112717</v>
      </c>
      <c r="B13" s="537">
        <v>8312405</v>
      </c>
      <c r="C13" s="538" t="s">
        <v>65</v>
      </c>
      <c r="D13" s="537">
        <v>112717</v>
      </c>
      <c r="E13" s="539">
        <v>205</v>
      </c>
      <c r="F13" s="539">
        <v>205</v>
      </c>
      <c r="G13" s="539">
        <v>0</v>
      </c>
      <c r="H13" s="540">
        <v>788635</v>
      </c>
      <c r="I13" s="540">
        <v>0</v>
      </c>
      <c r="J13" s="540">
        <v>0</v>
      </c>
      <c r="K13" s="540">
        <v>59894.999999999964</v>
      </c>
      <c r="L13" s="540">
        <v>0</v>
      </c>
      <c r="M13" s="540">
        <v>128259.99999999993</v>
      </c>
      <c r="N13" s="540">
        <v>0</v>
      </c>
      <c r="O13" s="540">
        <v>470</v>
      </c>
      <c r="P13" s="540">
        <v>24509.999999999989</v>
      </c>
      <c r="Q13" s="540">
        <v>5785.0000000000036</v>
      </c>
      <c r="R13" s="540">
        <v>12740.000000000009</v>
      </c>
      <c r="S13" s="540">
        <v>35880.000000000051</v>
      </c>
      <c r="T13" s="540">
        <v>684.9999999999992</v>
      </c>
      <c r="U13" s="540">
        <v>0</v>
      </c>
      <c r="V13" s="540">
        <v>0</v>
      </c>
      <c r="W13" s="540">
        <v>0</v>
      </c>
      <c r="X13" s="540">
        <v>0</v>
      </c>
      <c r="Y13" s="540">
        <v>0</v>
      </c>
      <c r="Z13" s="540">
        <v>0</v>
      </c>
      <c r="AA13" s="540">
        <v>49898.863636363625</v>
      </c>
      <c r="AB13" s="540">
        <v>0</v>
      </c>
      <c r="AC13" s="540">
        <v>109932.54867964787</v>
      </c>
      <c r="AD13" s="540">
        <v>0</v>
      </c>
      <c r="AE13" s="540">
        <v>675.50000000000887</v>
      </c>
      <c r="AF13" s="540">
        <v>0</v>
      </c>
      <c r="AG13" s="540">
        <v>145100</v>
      </c>
      <c r="AH13" s="540">
        <v>0</v>
      </c>
      <c r="AI13" s="540">
        <v>0</v>
      </c>
      <c r="AJ13" s="540">
        <v>0</v>
      </c>
      <c r="AK13" s="540">
        <v>17964</v>
      </c>
      <c r="AL13" s="540">
        <v>0</v>
      </c>
      <c r="AM13" s="540">
        <v>0</v>
      </c>
      <c r="AN13" s="540">
        <v>0</v>
      </c>
      <c r="AO13" s="540">
        <v>0</v>
      </c>
      <c r="AP13" s="540">
        <v>0</v>
      </c>
      <c r="AQ13" s="540">
        <v>0</v>
      </c>
      <c r="AR13" s="540">
        <v>0</v>
      </c>
      <c r="AS13" s="540">
        <v>0</v>
      </c>
      <c r="AT13" s="540">
        <v>788635</v>
      </c>
      <c r="AU13" s="540">
        <v>428731.91231601144</v>
      </c>
      <c r="AV13" s="540">
        <v>163064</v>
      </c>
      <c r="AW13" s="540">
        <v>245298.75433555001</v>
      </c>
      <c r="AX13" s="541">
        <v>1380430.9123160115</v>
      </c>
      <c r="AY13" s="541">
        <v>1362466.9123160115</v>
      </c>
      <c r="AZ13" s="541">
        <v>4955</v>
      </c>
      <c r="BA13" s="541">
        <v>1015775</v>
      </c>
      <c r="BB13" s="541">
        <v>0</v>
      </c>
      <c r="BC13" s="541">
        <v>0</v>
      </c>
      <c r="BD13" s="541">
        <v>1380430.9123160115</v>
      </c>
      <c r="BE13" s="540">
        <v>1380430.9123160115</v>
      </c>
      <c r="BF13" s="540">
        <v>0</v>
      </c>
      <c r="BG13" s="541">
        <v>1033739</v>
      </c>
      <c r="BH13" s="541">
        <v>870675</v>
      </c>
      <c r="BI13" s="540">
        <v>1217366.9123160115</v>
      </c>
      <c r="BJ13" s="540">
        <v>5938.3751820293246</v>
      </c>
      <c r="BK13" s="540">
        <v>5683.9378199052126</v>
      </c>
      <c r="BL13" s="542">
        <v>4.476427613846682E-2</v>
      </c>
      <c r="BM13" s="542">
        <v>-3.2829806299481325E-2</v>
      </c>
      <c r="BN13" s="540">
        <v>-38253.52841738578</v>
      </c>
      <c r="BO13" s="541">
        <v>1342177.3838986256</v>
      </c>
      <c r="BP13" s="541">
        <v>6459.5774824323198</v>
      </c>
      <c r="BQ13" s="541" t="s">
        <v>771</v>
      </c>
      <c r="BR13" s="541">
        <v>6547.2067507250031</v>
      </c>
      <c r="BS13" s="542">
        <v>1.4009172279347837E-2</v>
      </c>
      <c r="BT13" s="540">
        <v>-15934.650000000001</v>
      </c>
      <c r="BU13" s="540">
        <v>1326242.7338986257</v>
      </c>
      <c r="BV13" s="540">
        <v>0</v>
      </c>
      <c r="BW13" s="540">
        <v>1326242.7338986257</v>
      </c>
      <c r="BX13" s="540">
        <v>17964</v>
      </c>
      <c r="BY13" s="540">
        <v>1308278.7338986257</v>
      </c>
      <c r="CA13" s="10"/>
    </row>
    <row r="14" spans="1:153" ht="14.5" x14ac:dyDescent="0.35">
      <c r="A14" s="537">
        <v>112720</v>
      </c>
      <c r="B14" s="537">
        <v>8312409</v>
      </c>
      <c r="C14" s="538" t="s">
        <v>66</v>
      </c>
      <c r="D14" s="537">
        <v>112720</v>
      </c>
      <c r="E14" s="539">
        <v>549</v>
      </c>
      <c r="F14" s="539">
        <v>549</v>
      </c>
      <c r="G14" s="539">
        <v>0</v>
      </c>
      <c r="H14" s="540">
        <v>2112003</v>
      </c>
      <c r="I14" s="540">
        <v>0</v>
      </c>
      <c r="J14" s="540">
        <v>0</v>
      </c>
      <c r="K14" s="540">
        <v>154934.99999999997</v>
      </c>
      <c r="L14" s="540">
        <v>0</v>
      </c>
      <c r="M14" s="540">
        <v>337080.00000000023</v>
      </c>
      <c r="N14" s="540">
        <v>0</v>
      </c>
      <c r="O14" s="540">
        <v>1410.0000000000027</v>
      </c>
      <c r="P14" s="540">
        <v>59564.99999999992</v>
      </c>
      <c r="Q14" s="540">
        <v>52065.00000000008</v>
      </c>
      <c r="R14" s="540">
        <v>39199.999999999978</v>
      </c>
      <c r="S14" s="540">
        <v>4679.9999999999945</v>
      </c>
      <c r="T14" s="540">
        <v>4110.0000000000082</v>
      </c>
      <c r="U14" s="540">
        <v>0</v>
      </c>
      <c r="V14" s="540">
        <v>0</v>
      </c>
      <c r="W14" s="540">
        <v>0</v>
      </c>
      <c r="X14" s="540">
        <v>0</v>
      </c>
      <c r="Y14" s="540">
        <v>0</v>
      </c>
      <c r="Z14" s="540">
        <v>0</v>
      </c>
      <c r="AA14" s="540">
        <v>143342.27848101271</v>
      </c>
      <c r="AB14" s="540">
        <v>0</v>
      </c>
      <c r="AC14" s="540">
        <v>290012.44693151646</v>
      </c>
      <c r="AD14" s="540">
        <v>0</v>
      </c>
      <c r="AE14" s="540">
        <v>4882.9000000000005</v>
      </c>
      <c r="AF14" s="540">
        <v>0</v>
      </c>
      <c r="AG14" s="540">
        <v>145100</v>
      </c>
      <c r="AH14" s="540">
        <v>0</v>
      </c>
      <c r="AI14" s="540">
        <v>0</v>
      </c>
      <c r="AJ14" s="540">
        <v>0</v>
      </c>
      <c r="AK14" s="540">
        <v>43055</v>
      </c>
      <c r="AL14" s="540">
        <v>0</v>
      </c>
      <c r="AM14" s="540">
        <v>0</v>
      </c>
      <c r="AN14" s="540">
        <v>0</v>
      </c>
      <c r="AO14" s="540">
        <v>0</v>
      </c>
      <c r="AP14" s="540">
        <v>0</v>
      </c>
      <c r="AQ14" s="540">
        <v>0</v>
      </c>
      <c r="AR14" s="540">
        <v>0</v>
      </c>
      <c r="AS14" s="540">
        <v>0</v>
      </c>
      <c r="AT14" s="540">
        <v>2112003</v>
      </c>
      <c r="AU14" s="540">
        <v>1091282.6254125293</v>
      </c>
      <c r="AV14" s="540">
        <v>188155</v>
      </c>
      <c r="AW14" s="540">
        <v>639459.21916705975</v>
      </c>
      <c r="AX14" s="541">
        <v>3391440.6254125293</v>
      </c>
      <c r="AY14" s="541">
        <v>3348385.6254125293</v>
      </c>
      <c r="AZ14" s="541">
        <v>4955</v>
      </c>
      <c r="BA14" s="541">
        <v>2720295</v>
      </c>
      <c r="BB14" s="541">
        <v>0</v>
      </c>
      <c r="BC14" s="541">
        <v>0</v>
      </c>
      <c r="BD14" s="541">
        <v>3391440.6254125293</v>
      </c>
      <c r="BE14" s="540">
        <v>3391440.6254125289</v>
      </c>
      <c r="BF14" s="540">
        <v>0</v>
      </c>
      <c r="BG14" s="541">
        <v>2763350</v>
      </c>
      <c r="BH14" s="541">
        <v>2575195</v>
      </c>
      <c r="BI14" s="540">
        <v>3203285.6254125293</v>
      </c>
      <c r="BJ14" s="540">
        <v>5834.7643450137148</v>
      </c>
      <c r="BK14" s="540">
        <v>5540.2097053406997</v>
      </c>
      <c r="BL14" s="542">
        <v>5.3166695005979245E-2</v>
      </c>
      <c r="BM14" s="542">
        <v>-3.9837423634986685E-2</v>
      </c>
      <c r="BN14" s="540">
        <v>-121168.5169010189</v>
      </c>
      <c r="BO14" s="541">
        <v>3270272.1085115103</v>
      </c>
      <c r="BP14" s="541">
        <v>5878.3553889098548</v>
      </c>
      <c r="BQ14" s="541" t="s">
        <v>771</v>
      </c>
      <c r="BR14" s="541">
        <v>5956.7797969244266</v>
      </c>
      <c r="BS14" s="542">
        <v>1.1901358420798536E-2</v>
      </c>
      <c r="BT14" s="540">
        <v>-42673.770000000004</v>
      </c>
      <c r="BU14" s="540">
        <v>3227598.3385115103</v>
      </c>
      <c r="BV14" s="540">
        <v>0</v>
      </c>
      <c r="BW14" s="540">
        <v>3227598.3385115103</v>
      </c>
      <c r="BX14" s="540">
        <v>43055</v>
      </c>
      <c r="BY14" s="540">
        <v>3184543.3385115103</v>
      </c>
      <c r="CA14" s="10"/>
    </row>
    <row r="15" spans="1:153" ht="14.5" x14ac:dyDescent="0.35">
      <c r="A15" s="537">
        <v>112728</v>
      </c>
      <c r="B15" s="537">
        <v>8312424</v>
      </c>
      <c r="C15" s="538" t="s">
        <v>67</v>
      </c>
      <c r="D15" s="537">
        <v>112728</v>
      </c>
      <c r="E15" s="539">
        <v>247</v>
      </c>
      <c r="F15" s="539">
        <v>247</v>
      </c>
      <c r="G15" s="539">
        <v>0</v>
      </c>
      <c r="H15" s="540">
        <v>950209</v>
      </c>
      <c r="I15" s="540">
        <v>0</v>
      </c>
      <c r="J15" s="540">
        <v>0</v>
      </c>
      <c r="K15" s="540">
        <v>67814.999999999985</v>
      </c>
      <c r="L15" s="540">
        <v>0</v>
      </c>
      <c r="M15" s="540">
        <v>150519.99999999994</v>
      </c>
      <c r="N15" s="540">
        <v>0</v>
      </c>
      <c r="O15" s="540">
        <v>4464.9999999999982</v>
      </c>
      <c r="P15" s="540">
        <v>6270.0000000000018</v>
      </c>
      <c r="Q15" s="540">
        <v>46725.000000000022</v>
      </c>
      <c r="R15" s="540">
        <v>41160</v>
      </c>
      <c r="S15" s="540">
        <v>3119.9999999999995</v>
      </c>
      <c r="T15" s="540">
        <v>3425.0000000000023</v>
      </c>
      <c r="U15" s="540">
        <v>0</v>
      </c>
      <c r="V15" s="540">
        <v>0</v>
      </c>
      <c r="W15" s="540">
        <v>0</v>
      </c>
      <c r="X15" s="540">
        <v>0</v>
      </c>
      <c r="Y15" s="540">
        <v>0</v>
      </c>
      <c r="Z15" s="540">
        <v>0</v>
      </c>
      <c r="AA15" s="540">
        <v>112135.14450867054</v>
      </c>
      <c r="AB15" s="540">
        <v>0</v>
      </c>
      <c r="AC15" s="540">
        <v>94178.973509933741</v>
      </c>
      <c r="AD15" s="540">
        <v>0</v>
      </c>
      <c r="AE15" s="540">
        <v>0</v>
      </c>
      <c r="AF15" s="540">
        <v>0</v>
      </c>
      <c r="AG15" s="540">
        <v>145100</v>
      </c>
      <c r="AH15" s="540">
        <v>0</v>
      </c>
      <c r="AI15" s="540">
        <v>0</v>
      </c>
      <c r="AJ15" s="540">
        <v>0</v>
      </c>
      <c r="AK15" s="540">
        <v>15095</v>
      </c>
      <c r="AL15" s="540">
        <v>0</v>
      </c>
      <c r="AM15" s="540">
        <v>0</v>
      </c>
      <c r="AN15" s="540">
        <v>0</v>
      </c>
      <c r="AO15" s="540">
        <v>0</v>
      </c>
      <c r="AP15" s="540">
        <v>0</v>
      </c>
      <c r="AQ15" s="540">
        <v>0</v>
      </c>
      <c r="AR15" s="540">
        <v>0</v>
      </c>
      <c r="AS15" s="540">
        <v>0</v>
      </c>
      <c r="AT15" s="540">
        <v>950209</v>
      </c>
      <c r="AU15" s="540">
        <v>529814.11801860423</v>
      </c>
      <c r="AV15" s="540">
        <v>160195</v>
      </c>
      <c r="AW15" s="540">
        <v>303341.67433267611</v>
      </c>
      <c r="AX15" s="541">
        <v>1640218.1180186043</v>
      </c>
      <c r="AY15" s="541">
        <v>1625123.1180186043</v>
      </c>
      <c r="AZ15" s="541">
        <v>4955</v>
      </c>
      <c r="BA15" s="541">
        <v>1223885</v>
      </c>
      <c r="BB15" s="541">
        <v>0</v>
      </c>
      <c r="BC15" s="541">
        <v>0</v>
      </c>
      <c r="BD15" s="541">
        <v>1640218.1180186043</v>
      </c>
      <c r="BE15" s="540">
        <v>1640218.1180186043</v>
      </c>
      <c r="BF15" s="540">
        <v>0</v>
      </c>
      <c r="BG15" s="541">
        <v>1238980</v>
      </c>
      <c r="BH15" s="541">
        <v>1078785</v>
      </c>
      <c r="BI15" s="540">
        <v>1480023.1180186043</v>
      </c>
      <c r="BJ15" s="540">
        <v>5991.9964292251188</v>
      </c>
      <c r="BK15" s="540">
        <v>6021.5862204724408</v>
      </c>
      <c r="BL15" s="542">
        <v>-4.913952929333029E-3</v>
      </c>
      <c r="BM15" s="542">
        <v>4.913952929333029E-3</v>
      </c>
      <c r="BN15" s="540">
        <v>7308.6784380885229</v>
      </c>
      <c r="BO15" s="541">
        <v>1647526.796456693</v>
      </c>
      <c r="BP15" s="541">
        <v>6609.0356131849921</v>
      </c>
      <c r="BQ15" s="541" t="s">
        <v>771</v>
      </c>
      <c r="BR15" s="541">
        <v>6670.148973508878</v>
      </c>
      <c r="BS15" s="542">
        <v>2.6870150476661081E-3</v>
      </c>
      <c r="BT15" s="540">
        <v>-19199.310000000001</v>
      </c>
      <c r="BU15" s="540">
        <v>1628327.4864566929</v>
      </c>
      <c r="BV15" s="540">
        <v>0</v>
      </c>
      <c r="BW15" s="540">
        <v>1628327.4864566929</v>
      </c>
      <c r="BX15" s="540">
        <v>15095</v>
      </c>
      <c r="BY15" s="540">
        <v>1613232.4864566929</v>
      </c>
      <c r="CA15" s="10"/>
    </row>
    <row r="16" spans="1:153" ht="14.5" x14ac:dyDescent="0.35">
      <c r="A16" s="537">
        <v>112733</v>
      </c>
      <c r="B16" s="537">
        <v>8312429</v>
      </c>
      <c r="C16" s="538" t="s">
        <v>68</v>
      </c>
      <c r="D16" s="537">
        <v>112733</v>
      </c>
      <c r="E16" s="539">
        <v>149</v>
      </c>
      <c r="F16" s="539">
        <v>149</v>
      </c>
      <c r="G16" s="539">
        <v>0</v>
      </c>
      <c r="H16" s="540">
        <v>573203</v>
      </c>
      <c r="I16" s="540">
        <v>0</v>
      </c>
      <c r="J16" s="540">
        <v>0</v>
      </c>
      <c r="K16" s="540">
        <v>32669.999999999985</v>
      </c>
      <c r="L16" s="540">
        <v>0</v>
      </c>
      <c r="M16" s="540">
        <v>71019.999999999956</v>
      </c>
      <c r="N16" s="540">
        <v>0</v>
      </c>
      <c r="O16" s="540">
        <v>7050.0000000000136</v>
      </c>
      <c r="P16" s="540">
        <v>5415.0000000000027</v>
      </c>
      <c r="Q16" s="540">
        <v>20025.000000000004</v>
      </c>
      <c r="R16" s="540">
        <v>8330.0000000000273</v>
      </c>
      <c r="S16" s="540">
        <v>2600.0000000000023</v>
      </c>
      <c r="T16" s="540">
        <v>17810</v>
      </c>
      <c r="U16" s="540">
        <v>0</v>
      </c>
      <c r="V16" s="540">
        <v>0</v>
      </c>
      <c r="W16" s="540">
        <v>0</v>
      </c>
      <c r="X16" s="540">
        <v>0</v>
      </c>
      <c r="Y16" s="540">
        <v>0</v>
      </c>
      <c r="Z16" s="540">
        <v>0</v>
      </c>
      <c r="AA16" s="540">
        <v>74301.333333333328</v>
      </c>
      <c r="AB16" s="540">
        <v>0</v>
      </c>
      <c r="AC16" s="540">
        <v>81701.666666666672</v>
      </c>
      <c r="AD16" s="540">
        <v>0</v>
      </c>
      <c r="AE16" s="540">
        <v>2952.8999999999937</v>
      </c>
      <c r="AF16" s="540">
        <v>0</v>
      </c>
      <c r="AG16" s="540">
        <v>145100</v>
      </c>
      <c r="AH16" s="540">
        <v>0</v>
      </c>
      <c r="AI16" s="540">
        <v>0</v>
      </c>
      <c r="AJ16" s="540">
        <v>0</v>
      </c>
      <c r="AK16" s="540">
        <v>16211</v>
      </c>
      <c r="AL16" s="540">
        <v>0</v>
      </c>
      <c r="AM16" s="540">
        <v>0</v>
      </c>
      <c r="AN16" s="540">
        <v>0</v>
      </c>
      <c r="AO16" s="540">
        <v>0</v>
      </c>
      <c r="AP16" s="540">
        <v>0</v>
      </c>
      <c r="AQ16" s="540">
        <v>0</v>
      </c>
      <c r="AR16" s="540">
        <v>0</v>
      </c>
      <c r="AS16" s="540">
        <v>0</v>
      </c>
      <c r="AT16" s="540">
        <v>573203</v>
      </c>
      <c r="AU16" s="540">
        <v>323875.89999999997</v>
      </c>
      <c r="AV16" s="540">
        <v>161311</v>
      </c>
      <c r="AW16" s="540">
        <v>185978.03149999998</v>
      </c>
      <c r="AX16" s="541">
        <v>1058389.8999999999</v>
      </c>
      <c r="AY16" s="541">
        <v>1042178.8999999999</v>
      </c>
      <c r="AZ16" s="541">
        <v>4955</v>
      </c>
      <c r="BA16" s="541">
        <v>738295</v>
      </c>
      <c r="BB16" s="541">
        <v>0</v>
      </c>
      <c r="BC16" s="541">
        <v>0</v>
      </c>
      <c r="BD16" s="541">
        <v>1058389.8999999999</v>
      </c>
      <c r="BE16" s="540">
        <v>1058389.8999999999</v>
      </c>
      <c r="BF16" s="540">
        <v>0</v>
      </c>
      <c r="BG16" s="541">
        <v>754506</v>
      </c>
      <c r="BH16" s="541">
        <v>593195</v>
      </c>
      <c r="BI16" s="540">
        <v>897078.89999999991</v>
      </c>
      <c r="BJ16" s="540">
        <v>6020.6637583892607</v>
      </c>
      <c r="BK16" s="540">
        <v>5710.7795918367347</v>
      </c>
      <c r="BL16" s="542">
        <v>5.4263023387470515E-2</v>
      </c>
      <c r="BM16" s="542">
        <v>-4.0751761505150405E-2</v>
      </c>
      <c r="BN16" s="540">
        <v>-34675.924862316606</v>
      </c>
      <c r="BO16" s="541">
        <v>1023713.9751376833</v>
      </c>
      <c r="BP16" s="541">
        <v>6761.7649338099554</v>
      </c>
      <c r="BQ16" s="541" t="s">
        <v>771</v>
      </c>
      <c r="BR16" s="541">
        <v>6870.5635915280764</v>
      </c>
      <c r="BS16" s="542">
        <v>9.1699523405450734E-3</v>
      </c>
      <c r="BT16" s="540">
        <v>-11581.77</v>
      </c>
      <c r="BU16" s="540">
        <v>1012132.2051376833</v>
      </c>
      <c r="BV16" s="540">
        <v>0</v>
      </c>
      <c r="BW16" s="540">
        <v>1012132.2051376833</v>
      </c>
      <c r="BX16" s="540">
        <v>16211</v>
      </c>
      <c r="BY16" s="540">
        <v>995921.20513768331</v>
      </c>
      <c r="CA16" s="10"/>
    </row>
    <row r="17" spans="1:79" ht="14.5" x14ac:dyDescent="0.35">
      <c r="A17" s="537">
        <v>112739</v>
      </c>
      <c r="B17" s="537">
        <v>8312436</v>
      </c>
      <c r="C17" s="538" t="s">
        <v>69</v>
      </c>
      <c r="D17" s="537">
        <v>112739</v>
      </c>
      <c r="E17" s="539">
        <v>421</v>
      </c>
      <c r="F17" s="539">
        <v>421</v>
      </c>
      <c r="G17" s="539">
        <v>0</v>
      </c>
      <c r="H17" s="540">
        <v>1619587</v>
      </c>
      <c r="I17" s="540">
        <v>0</v>
      </c>
      <c r="J17" s="540">
        <v>0</v>
      </c>
      <c r="K17" s="540">
        <v>51974.999999999891</v>
      </c>
      <c r="L17" s="540">
        <v>0</v>
      </c>
      <c r="M17" s="540">
        <v>111299.99999999977</v>
      </c>
      <c r="N17" s="540">
        <v>0</v>
      </c>
      <c r="O17" s="540">
        <v>16920</v>
      </c>
      <c r="P17" s="540">
        <v>22229.999999999989</v>
      </c>
      <c r="Q17" s="540">
        <v>0</v>
      </c>
      <c r="R17" s="540">
        <v>3919.9999999999973</v>
      </c>
      <c r="S17" s="540">
        <v>3120.0000000000032</v>
      </c>
      <c r="T17" s="540">
        <v>21920.000000000015</v>
      </c>
      <c r="U17" s="540">
        <v>0</v>
      </c>
      <c r="V17" s="540">
        <v>0</v>
      </c>
      <c r="W17" s="540">
        <v>0</v>
      </c>
      <c r="X17" s="540">
        <v>0</v>
      </c>
      <c r="Y17" s="540">
        <v>0</v>
      </c>
      <c r="Z17" s="540">
        <v>0</v>
      </c>
      <c r="AA17" s="540">
        <v>20520.776836158198</v>
      </c>
      <c r="AB17" s="540">
        <v>0</v>
      </c>
      <c r="AC17" s="540">
        <v>130953.33105401986</v>
      </c>
      <c r="AD17" s="540">
        <v>0</v>
      </c>
      <c r="AE17" s="540">
        <v>0</v>
      </c>
      <c r="AF17" s="540">
        <v>0</v>
      </c>
      <c r="AG17" s="540">
        <v>145100</v>
      </c>
      <c r="AH17" s="540">
        <v>0</v>
      </c>
      <c r="AI17" s="540">
        <v>0</v>
      </c>
      <c r="AJ17" s="540">
        <v>0</v>
      </c>
      <c r="AK17" s="540">
        <v>30731</v>
      </c>
      <c r="AL17" s="540">
        <v>0</v>
      </c>
      <c r="AM17" s="540">
        <v>0</v>
      </c>
      <c r="AN17" s="540">
        <v>0</v>
      </c>
      <c r="AO17" s="540">
        <v>0</v>
      </c>
      <c r="AP17" s="540">
        <v>0</v>
      </c>
      <c r="AQ17" s="540">
        <v>0</v>
      </c>
      <c r="AR17" s="540">
        <v>0</v>
      </c>
      <c r="AS17" s="540">
        <v>0</v>
      </c>
      <c r="AT17" s="540">
        <v>1619587</v>
      </c>
      <c r="AU17" s="540">
        <v>382859.10789017769</v>
      </c>
      <c r="AV17" s="540">
        <v>175831</v>
      </c>
      <c r="AW17" s="540">
        <v>326364.67288780265</v>
      </c>
      <c r="AX17" s="541">
        <v>2178277.1078901775</v>
      </c>
      <c r="AY17" s="541">
        <v>2147546.1078901775</v>
      </c>
      <c r="AZ17" s="541">
        <v>4955</v>
      </c>
      <c r="BA17" s="541">
        <v>2086055</v>
      </c>
      <c r="BB17" s="541">
        <v>0</v>
      </c>
      <c r="BC17" s="541">
        <v>0</v>
      </c>
      <c r="BD17" s="541">
        <v>2178277.1078901775</v>
      </c>
      <c r="BE17" s="540">
        <v>2178277.107890178</v>
      </c>
      <c r="BF17" s="540">
        <v>0</v>
      </c>
      <c r="BG17" s="541">
        <v>2116786</v>
      </c>
      <c r="BH17" s="541">
        <v>1940955</v>
      </c>
      <c r="BI17" s="540">
        <v>2002446.1078901775</v>
      </c>
      <c r="BJ17" s="540">
        <v>4756.4040567462653</v>
      </c>
      <c r="BK17" s="540">
        <v>4709.4437410071941</v>
      </c>
      <c r="BL17" s="542">
        <v>9.9715206979047299E-3</v>
      </c>
      <c r="BM17" s="542">
        <v>-3.8126482620525442E-3</v>
      </c>
      <c r="BN17" s="540">
        <v>-7559.2455001362168</v>
      </c>
      <c r="BO17" s="541">
        <v>2170717.8623900414</v>
      </c>
      <c r="BP17" s="541">
        <v>5083.1041861996227</v>
      </c>
      <c r="BQ17" s="541" t="s">
        <v>771</v>
      </c>
      <c r="BR17" s="541">
        <v>5156.099435605799</v>
      </c>
      <c r="BS17" s="542">
        <v>4.8719799430374522E-3</v>
      </c>
      <c r="BT17" s="540">
        <v>-32724.33</v>
      </c>
      <c r="BU17" s="540">
        <v>2137993.5323900413</v>
      </c>
      <c r="BV17" s="540">
        <v>0</v>
      </c>
      <c r="BW17" s="540">
        <v>2137993.5323900413</v>
      </c>
      <c r="BX17" s="540">
        <v>30731</v>
      </c>
      <c r="BY17" s="540">
        <v>2107262.5323900413</v>
      </c>
      <c r="CA17" s="10"/>
    </row>
    <row r="18" spans="1:79" ht="14.5" x14ac:dyDescent="0.35">
      <c r="A18" s="537">
        <v>112740</v>
      </c>
      <c r="B18" s="537">
        <v>8312439</v>
      </c>
      <c r="C18" s="538" t="s">
        <v>70</v>
      </c>
      <c r="D18" s="537">
        <v>112740</v>
      </c>
      <c r="E18" s="539">
        <v>172</v>
      </c>
      <c r="F18" s="539">
        <v>172</v>
      </c>
      <c r="G18" s="539">
        <v>0</v>
      </c>
      <c r="H18" s="540">
        <v>661684</v>
      </c>
      <c r="I18" s="540">
        <v>0</v>
      </c>
      <c r="J18" s="540">
        <v>0</v>
      </c>
      <c r="K18" s="540">
        <v>10395.000000000004</v>
      </c>
      <c r="L18" s="540">
        <v>0</v>
      </c>
      <c r="M18" s="540">
        <v>22260.000000000007</v>
      </c>
      <c r="N18" s="540">
        <v>0</v>
      </c>
      <c r="O18" s="540">
        <v>3055</v>
      </c>
      <c r="P18" s="540">
        <v>2564.9999999999982</v>
      </c>
      <c r="Q18" s="540">
        <v>444.99999999999983</v>
      </c>
      <c r="R18" s="540">
        <v>980.00000000000114</v>
      </c>
      <c r="S18" s="540">
        <v>1560.0000000000018</v>
      </c>
      <c r="T18" s="540">
        <v>0</v>
      </c>
      <c r="U18" s="540">
        <v>0</v>
      </c>
      <c r="V18" s="540">
        <v>0</v>
      </c>
      <c r="W18" s="540">
        <v>0</v>
      </c>
      <c r="X18" s="540">
        <v>0</v>
      </c>
      <c r="Y18" s="540">
        <v>0</v>
      </c>
      <c r="Z18" s="540">
        <v>0</v>
      </c>
      <c r="AA18" s="540">
        <v>6229.391304347826</v>
      </c>
      <c r="AB18" s="540">
        <v>0</v>
      </c>
      <c r="AC18" s="540">
        <v>60808.84955752211</v>
      </c>
      <c r="AD18" s="540">
        <v>0</v>
      </c>
      <c r="AE18" s="540">
        <v>0</v>
      </c>
      <c r="AF18" s="540">
        <v>0</v>
      </c>
      <c r="AG18" s="540">
        <v>145100</v>
      </c>
      <c r="AH18" s="540">
        <v>0</v>
      </c>
      <c r="AI18" s="540">
        <v>0</v>
      </c>
      <c r="AJ18" s="540">
        <v>0</v>
      </c>
      <c r="AK18" s="540">
        <v>13629</v>
      </c>
      <c r="AL18" s="540">
        <v>0</v>
      </c>
      <c r="AM18" s="540">
        <v>0</v>
      </c>
      <c r="AN18" s="540">
        <v>0</v>
      </c>
      <c r="AO18" s="540">
        <v>0</v>
      </c>
      <c r="AP18" s="540">
        <v>0</v>
      </c>
      <c r="AQ18" s="540">
        <v>0</v>
      </c>
      <c r="AR18" s="540">
        <v>0</v>
      </c>
      <c r="AS18" s="540">
        <v>0</v>
      </c>
      <c r="AT18" s="540">
        <v>661684</v>
      </c>
      <c r="AU18" s="540">
        <v>108298.24086186994</v>
      </c>
      <c r="AV18" s="540">
        <v>158729</v>
      </c>
      <c r="AW18" s="540">
        <v>116051.95519969219</v>
      </c>
      <c r="AX18" s="541">
        <v>928711.24086186988</v>
      </c>
      <c r="AY18" s="541">
        <v>915082.24086186988</v>
      </c>
      <c r="AZ18" s="541">
        <v>4955</v>
      </c>
      <c r="BA18" s="541">
        <v>852260</v>
      </c>
      <c r="BB18" s="541">
        <v>0</v>
      </c>
      <c r="BC18" s="541">
        <v>0</v>
      </c>
      <c r="BD18" s="541">
        <v>928711.24086186988</v>
      </c>
      <c r="BE18" s="540">
        <v>928711.24086186988</v>
      </c>
      <c r="BF18" s="540">
        <v>0</v>
      </c>
      <c r="BG18" s="541">
        <v>865889</v>
      </c>
      <c r="BH18" s="541">
        <v>707160</v>
      </c>
      <c r="BI18" s="540">
        <v>769982.24086186988</v>
      </c>
      <c r="BJ18" s="540">
        <v>4476.6409352434293</v>
      </c>
      <c r="BK18" s="540">
        <v>4359.2816981132082</v>
      </c>
      <c r="BL18" s="542">
        <v>2.6921691521109258E-2</v>
      </c>
      <c r="BM18" s="542">
        <v>-1.7949090728605118E-2</v>
      </c>
      <c r="BN18" s="540">
        <v>-13458.164546288865</v>
      </c>
      <c r="BO18" s="541">
        <v>915253.07631558098</v>
      </c>
      <c r="BP18" s="541">
        <v>5242.0004436952386</v>
      </c>
      <c r="BQ18" s="541" t="s">
        <v>771</v>
      </c>
      <c r="BR18" s="541">
        <v>5321.2388157882615</v>
      </c>
      <c r="BS18" s="542">
        <v>-6.7826328589012386E-3</v>
      </c>
      <c r="BT18" s="540">
        <v>-13369.560000000001</v>
      </c>
      <c r="BU18" s="540">
        <v>901883.51631558093</v>
      </c>
      <c r="BV18" s="540">
        <v>0</v>
      </c>
      <c r="BW18" s="540">
        <v>901883.51631558093</v>
      </c>
      <c r="BX18" s="540">
        <v>13629</v>
      </c>
      <c r="BY18" s="540">
        <v>888254.51631558093</v>
      </c>
      <c r="CA18" s="10"/>
    </row>
    <row r="19" spans="1:79" ht="14.5" x14ac:dyDescent="0.35">
      <c r="A19" s="537">
        <v>112744</v>
      </c>
      <c r="B19" s="537">
        <v>8312443</v>
      </c>
      <c r="C19" s="538" t="s">
        <v>71</v>
      </c>
      <c r="D19" s="537">
        <v>112744</v>
      </c>
      <c r="E19" s="539">
        <v>269</v>
      </c>
      <c r="F19" s="539">
        <v>269</v>
      </c>
      <c r="G19" s="539">
        <v>0</v>
      </c>
      <c r="H19" s="540">
        <v>1034843</v>
      </c>
      <c r="I19" s="540">
        <v>0</v>
      </c>
      <c r="J19" s="540">
        <v>0</v>
      </c>
      <c r="K19" s="540">
        <v>56924.999999999942</v>
      </c>
      <c r="L19" s="540">
        <v>0</v>
      </c>
      <c r="M19" s="540">
        <v>121899.99999999988</v>
      </c>
      <c r="N19" s="540">
        <v>0</v>
      </c>
      <c r="O19" s="540">
        <v>8460.0000000000091</v>
      </c>
      <c r="P19" s="540">
        <v>15390.000000000015</v>
      </c>
      <c r="Q19" s="540">
        <v>890.00000000000034</v>
      </c>
      <c r="R19" s="540">
        <v>20580.000000000062</v>
      </c>
      <c r="S19" s="540">
        <v>8319.9999999999964</v>
      </c>
      <c r="T19" s="540">
        <v>16440.000000000004</v>
      </c>
      <c r="U19" s="540">
        <v>0</v>
      </c>
      <c r="V19" s="540">
        <v>0</v>
      </c>
      <c r="W19" s="540">
        <v>0</v>
      </c>
      <c r="X19" s="540">
        <v>0</v>
      </c>
      <c r="Y19" s="540">
        <v>0</v>
      </c>
      <c r="Z19" s="540">
        <v>0</v>
      </c>
      <c r="AA19" s="540">
        <v>19562.277777777741</v>
      </c>
      <c r="AB19" s="540">
        <v>0</v>
      </c>
      <c r="AC19" s="540">
        <v>82991.759776536244</v>
      </c>
      <c r="AD19" s="540">
        <v>0</v>
      </c>
      <c r="AE19" s="540">
        <v>0</v>
      </c>
      <c r="AF19" s="540">
        <v>0</v>
      </c>
      <c r="AG19" s="540">
        <v>145100</v>
      </c>
      <c r="AH19" s="540">
        <v>0</v>
      </c>
      <c r="AI19" s="540">
        <v>0</v>
      </c>
      <c r="AJ19" s="540">
        <v>0</v>
      </c>
      <c r="AK19" s="540">
        <v>20946</v>
      </c>
      <c r="AL19" s="540">
        <v>0</v>
      </c>
      <c r="AM19" s="540">
        <v>0</v>
      </c>
      <c r="AN19" s="540">
        <v>0</v>
      </c>
      <c r="AO19" s="540">
        <v>0</v>
      </c>
      <c r="AP19" s="540">
        <v>0</v>
      </c>
      <c r="AQ19" s="540">
        <v>0</v>
      </c>
      <c r="AR19" s="540">
        <v>0</v>
      </c>
      <c r="AS19" s="540">
        <v>0</v>
      </c>
      <c r="AT19" s="540">
        <v>1034843</v>
      </c>
      <c r="AU19" s="540">
        <v>351459.03755431389</v>
      </c>
      <c r="AV19" s="540">
        <v>166046</v>
      </c>
      <c r="AW19" s="540">
        <v>246519.70727793284</v>
      </c>
      <c r="AX19" s="541">
        <v>1552348.0375543139</v>
      </c>
      <c r="AY19" s="541">
        <v>1531402.0375543139</v>
      </c>
      <c r="AZ19" s="541">
        <v>4955</v>
      </c>
      <c r="BA19" s="541">
        <v>1332895</v>
      </c>
      <c r="BB19" s="541">
        <v>0</v>
      </c>
      <c r="BC19" s="541">
        <v>0</v>
      </c>
      <c r="BD19" s="541">
        <v>1552348.0375543139</v>
      </c>
      <c r="BE19" s="540">
        <v>1552348.0375543139</v>
      </c>
      <c r="BF19" s="540">
        <v>0</v>
      </c>
      <c r="BG19" s="541">
        <v>1353841</v>
      </c>
      <c r="BH19" s="541">
        <v>1187795</v>
      </c>
      <c r="BI19" s="540">
        <v>1386302.0375543139</v>
      </c>
      <c r="BJ19" s="540">
        <v>5153.5391730643641</v>
      </c>
      <c r="BK19" s="540">
        <v>5017.9884555984554</v>
      </c>
      <c r="BL19" s="542">
        <v>2.7012959209716376E-2</v>
      </c>
      <c r="BM19" s="542">
        <v>-1.8025207980903457E-2</v>
      </c>
      <c r="BN19" s="540">
        <v>-24331.126815084433</v>
      </c>
      <c r="BO19" s="541">
        <v>1528016.9107392295</v>
      </c>
      <c r="BP19" s="541">
        <v>5602.4940919673963</v>
      </c>
      <c r="BQ19" s="541" t="s">
        <v>771</v>
      </c>
      <c r="BR19" s="541">
        <v>5680.3602629711131</v>
      </c>
      <c r="BS19" s="542">
        <v>3.758121908526757E-3</v>
      </c>
      <c r="BT19" s="540">
        <v>-20909.370000000003</v>
      </c>
      <c r="BU19" s="540">
        <v>1507107.5407392294</v>
      </c>
      <c r="BV19" s="540">
        <v>0</v>
      </c>
      <c r="BW19" s="540">
        <v>1507107.5407392294</v>
      </c>
      <c r="BX19" s="540">
        <v>20946</v>
      </c>
      <c r="BY19" s="540">
        <v>1486161.5407392294</v>
      </c>
      <c r="CA19" s="10"/>
    </row>
    <row r="20" spans="1:79" ht="14.5" x14ac:dyDescent="0.35">
      <c r="A20" s="537">
        <v>112745</v>
      </c>
      <c r="B20" s="537">
        <v>8312444</v>
      </c>
      <c r="C20" s="538" t="s">
        <v>72</v>
      </c>
      <c r="D20" s="537">
        <v>112745</v>
      </c>
      <c r="E20" s="539">
        <v>170</v>
      </c>
      <c r="F20" s="539">
        <v>170</v>
      </c>
      <c r="G20" s="539">
        <v>0</v>
      </c>
      <c r="H20" s="540">
        <v>653990</v>
      </c>
      <c r="I20" s="540">
        <v>0</v>
      </c>
      <c r="J20" s="540">
        <v>0</v>
      </c>
      <c r="K20" s="540">
        <v>25739.99999999996</v>
      </c>
      <c r="L20" s="540">
        <v>0</v>
      </c>
      <c r="M20" s="540">
        <v>55119.99999999992</v>
      </c>
      <c r="N20" s="540">
        <v>0</v>
      </c>
      <c r="O20" s="540">
        <v>14099.999999999989</v>
      </c>
      <c r="P20" s="540">
        <v>3990.0000000000005</v>
      </c>
      <c r="Q20" s="540">
        <v>0</v>
      </c>
      <c r="R20" s="540">
        <v>6369.9999999999982</v>
      </c>
      <c r="S20" s="540">
        <v>13000.00000000002</v>
      </c>
      <c r="T20" s="540">
        <v>4109.9999999999973</v>
      </c>
      <c r="U20" s="540">
        <v>0</v>
      </c>
      <c r="V20" s="540">
        <v>0</v>
      </c>
      <c r="W20" s="540">
        <v>0</v>
      </c>
      <c r="X20" s="540">
        <v>0</v>
      </c>
      <c r="Y20" s="540">
        <v>0</v>
      </c>
      <c r="Z20" s="540">
        <v>0</v>
      </c>
      <c r="AA20" s="540">
        <v>18311.637931034515</v>
      </c>
      <c r="AB20" s="540">
        <v>0</v>
      </c>
      <c r="AC20" s="540">
        <v>57319.565217391268</v>
      </c>
      <c r="AD20" s="540">
        <v>0</v>
      </c>
      <c r="AE20" s="540">
        <v>0</v>
      </c>
      <c r="AF20" s="540">
        <v>0</v>
      </c>
      <c r="AG20" s="540">
        <v>145100</v>
      </c>
      <c r="AH20" s="540">
        <v>0</v>
      </c>
      <c r="AI20" s="540">
        <v>0</v>
      </c>
      <c r="AJ20" s="540">
        <v>0</v>
      </c>
      <c r="AK20" s="540">
        <v>14346</v>
      </c>
      <c r="AL20" s="540">
        <v>0</v>
      </c>
      <c r="AM20" s="540">
        <v>0</v>
      </c>
      <c r="AN20" s="540">
        <v>0</v>
      </c>
      <c r="AO20" s="540">
        <v>0</v>
      </c>
      <c r="AP20" s="540">
        <v>0</v>
      </c>
      <c r="AQ20" s="540">
        <v>0</v>
      </c>
      <c r="AR20" s="540">
        <v>0</v>
      </c>
      <c r="AS20" s="540">
        <v>0</v>
      </c>
      <c r="AT20" s="540">
        <v>653990</v>
      </c>
      <c r="AU20" s="540">
        <v>198061.20314842567</v>
      </c>
      <c r="AV20" s="540">
        <v>159446</v>
      </c>
      <c r="AW20" s="540">
        <v>147454.74577398796</v>
      </c>
      <c r="AX20" s="541">
        <v>1011497.2031484257</v>
      </c>
      <c r="AY20" s="541">
        <v>997151.20314842567</v>
      </c>
      <c r="AZ20" s="541">
        <v>4955</v>
      </c>
      <c r="BA20" s="541">
        <v>842350</v>
      </c>
      <c r="BB20" s="541">
        <v>0</v>
      </c>
      <c r="BC20" s="541">
        <v>0</v>
      </c>
      <c r="BD20" s="541">
        <v>1011497.2031484257</v>
      </c>
      <c r="BE20" s="540">
        <v>1011497.2031484257</v>
      </c>
      <c r="BF20" s="540">
        <v>0</v>
      </c>
      <c r="BG20" s="541">
        <v>856696</v>
      </c>
      <c r="BH20" s="541">
        <v>697250</v>
      </c>
      <c r="BI20" s="540">
        <v>852051.20314842567</v>
      </c>
      <c r="BJ20" s="540">
        <v>5012.0659008730918</v>
      </c>
      <c r="BK20" s="540">
        <v>5093.634973262032</v>
      </c>
      <c r="BL20" s="542">
        <v>-1.6013921848958536E-2</v>
      </c>
      <c r="BM20" s="542">
        <v>1.6013921848958536E-2</v>
      </c>
      <c r="BN20" s="540">
        <v>13866.742306119831</v>
      </c>
      <c r="BO20" s="541">
        <v>1025363.9454545456</v>
      </c>
      <c r="BP20" s="541">
        <v>5947.1643850267383</v>
      </c>
      <c r="BQ20" s="541" t="s">
        <v>771</v>
      </c>
      <c r="BR20" s="541">
        <v>6031.5526203208565</v>
      </c>
      <c r="BS20" s="542">
        <v>1.4339239797440229E-2</v>
      </c>
      <c r="BT20" s="540">
        <v>-13214.1</v>
      </c>
      <c r="BU20" s="540">
        <v>1012149.8454545456</v>
      </c>
      <c r="BV20" s="540">
        <v>0</v>
      </c>
      <c r="BW20" s="540">
        <v>1012149.8454545456</v>
      </c>
      <c r="BX20" s="540">
        <v>14346</v>
      </c>
      <c r="BY20" s="540">
        <v>997803.84545454558</v>
      </c>
      <c r="CA20" s="10"/>
    </row>
    <row r="21" spans="1:79" ht="14.5" x14ac:dyDescent="0.35">
      <c r="A21" s="537">
        <v>112749</v>
      </c>
      <c r="B21" s="537">
        <v>8312449</v>
      </c>
      <c r="C21" s="538" t="s">
        <v>73</v>
      </c>
      <c r="D21" s="537">
        <v>112749</v>
      </c>
      <c r="E21" s="539">
        <v>222</v>
      </c>
      <c r="F21" s="539">
        <v>222</v>
      </c>
      <c r="G21" s="539">
        <v>0</v>
      </c>
      <c r="H21" s="540">
        <v>854034</v>
      </c>
      <c r="I21" s="540">
        <v>0</v>
      </c>
      <c r="J21" s="540">
        <v>0</v>
      </c>
      <c r="K21" s="540">
        <v>35145.000000000022</v>
      </c>
      <c r="L21" s="540">
        <v>0</v>
      </c>
      <c r="M21" s="540">
        <v>75260.000000000044</v>
      </c>
      <c r="N21" s="540">
        <v>0</v>
      </c>
      <c r="O21" s="540">
        <v>11985.000000000013</v>
      </c>
      <c r="P21" s="540">
        <v>6270</v>
      </c>
      <c r="Q21" s="540">
        <v>1779.9999999999982</v>
      </c>
      <c r="R21" s="540">
        <v>0</v>
      </c>
      <c r="S21" s="540">
        <v>4159.9999999999955</v>
      </c>
      <c r="T21" s="540">
        <v>2054.9999999999977</v>
      </c>
      <c r="U21" s="540">
        <v>0</v>
      </c>
      <c r="V21" s="540">
        <v>0</v>
      </c>
      <c r="W21" s="540">
        <v>0</v>
      </c>
      <c r="X21" s="540">
        <v>0</v>
      </c>
      <c r="Y21" s="540">
        <v>0</v>
      </c>
      <c r="Z21" s="540">
        <v>0</v>
      </c>
      <c r="AA21" s="540">
        <v>18748.258064516162</v>
      </c>
      <c r="AB21" s="540">
        <v>0</v>
      </c>
      <c r="AC21" s="540">
        <v>96102.631578947257</v>
      </c>
      <c r="AD21" s="540">
        <v>0</v>
      </c>
      <c r="AE21" s="540">
        <v>0</v>
      </c>
      <c r="AF21" s="540">
        <v>0</v>
      </c>
      <c r="AG21" s="540">
        <v>145100</v>
      </c>
      <c r="AH21" s="540">
        <v>0</v>
      </c>
      <c r="AI21" s="540">
        <v>0</v>
      </c>
      <c r="AJ21" s="540">
        <v>0</v>
      </c>
      <c r="AK21" s="540">
        <v>20659</v>
      </c>
      <c r="AL21" s="540">
        <v>0</v>
      </c>
      <c r="AM21" s="540">
        <v>0</v>
      </c>
      <c r="AN21" s="540">
        <v>0</v>
      </c>
      <c r="AO21" s="540">
        <v>0</v>
      </c>
      <c r="AP21" s="540">
        <v>0</v>
      </c>
      <c r="AQ21" s="540">
        <v>0</v>
      </c>
      <c r="AR21" s="540">
        <v>0</v>
      </c>
      <c r="AS21" s="540">
        <v>0</v>
      </c>
      <c r="AT21" s="540">
        <v>854034</v>
      </c>
      <c r="AU21" s="540">
        <v>251505.88964346348</v>
      </c>
      <c r="AV21" s="540">
        <v>165759</v>
      </c>
      <c r="AW21" s="540">
        <v>189156.74353904923</v>
      </c>
      <c r="AX21" s="541">
        <v>1271298.8896434635</v>
      </c>
      <c r="AY21" s="541">
        <v>1250639.8896434635</v>
      </c>
      <c r="AZ21" s="541">
        <v>4955</v>
      </c>
      <c r="BA21" s="541">
        <v>1100010</v>
      </c>
      <c r="BB21" s="541">
        <v>0</v>
      </c>
      <c r="BC21" s="541">
        <v>0</v>
      </c>
      <c r="BD21" s="541">
        <v>1271298.8896434635</v>
      </c>
      <c r="BE21" s="540">
        <v>1271298.8896434633</v>
      </c>
      <c r="BF21" s="540">
        <v>0</v>
      </c>
      <c r="BG21" s="541">
        <v>1120669</v>
      </c>
      <c r="BH21" s="541">
        <v>954910</v>
      </c>
      <c r="BI21" s="540">
        <v>1105539.8896434635</v>
      </c>
      <c r="BJ21" s="540">
        <v>4979.9094128083943</v>
      </c>
      <c r="BK21" s="540">
        <v>4852.114593301435</v>
      </c>
      <c r="BL21" s="542">
        <v>2.6337964005092938E-2</v>
      </c>
      <c r="BM21" s="542">
        <v>-1.7462261980247508E-2</v>
      </c>
      <c r="BN21" s="540">
        <v>-18809.814953383408</v>
      </c>
      <c r="BO21" s="541">
        <v>1252489.0746900802</v>
      </c>
      <c r="BP21" s="541">
        <v>5548.7841202255868</v>
      </c>
      <c r="BQ21" s="541" t="s">
        <v>771</v>
      </c>
      <c r="BR21" s="541">
        <v>5641.8426787841454</v>
      </c>
      <c r="BS21" s="542">
        <v>-5.9823669601111185E-4</v>
      </c>
      <c r="BT21" s="540">
        <v>-17256.060000000001</v>
      </c>
      <c r="BU21" s="540">
        <v>1235233.0146900802</v>
      </c>
      <c r="BV21" s="540">
        <v>0</v>
      </c>
      <c r="BW21" s="540">
        <v>1235233.0146900802</v>
      </c>
      <c r="BX21" s="540">
        <v>20659</v>
      </c>
      <c r="BY21" s="540">
        <v>1214574.0146900802</v>
      </c>
      <c r="CA21" s="10"/>
    </row>
    <row r="22" spans="1:79" ht="14.5" x14ac:dyDescent="0.35">
      <c r="A22" s="537">
        <v>112752</v>
      </c>
      <c r="B22" s="537">
        <v>8312452</v>
      </c>
      <c r="C22" s="538" t="s">
        <v>74</v>
      </c>
      <c r="D22" s="537">
        <v>112752</v>
      </c>
      <c r="E22" s="539">
        <v>152</v>
      </c>
      <c r="F22" s="539">
        <v>152</v>
      </c>
      <c r="G22" s="539">
        <v>0</v>
      </c>
      <c r="H22" s="540">
        <v>584744</v>
      </c>
      <c r="I22" s="540">
        <v>0</v>
      </c>
      <c r="J22" s="540">
        <v>0</v>
      </c>
      <c r="K22" s="540">
        <v>44055.000000000022</v>
      </c>
      <c r="L22" s="540">
        <v>0</v>
      </c>
      <c r="M22" s="540">
        <v>94340.000000000044</v>
      </c>
      <c r="N22" s="540">
        <v>0</v>
      </c>
      <c r="O22" s="540">
        <v>1879.9999999999991</v>
      </c>
      <c r="P22" s="540">
        <v>5130.0000000000018</v>
      </c>
      <c r="Q22" s="540">
        <v>444.99999999999983</v>
      </c>
      <c r="R22" s="540">
        <v>26950.000000000011</v>
      </c>
      <c r="S22" s="540">
        <v>519.99999999999977</v>
      </c>
      <c r="T22" s="540">
        <v>4109.9999999999982</v>
      </c>
      <c r="U22" s="540">
        <v>0</v>
      </c>
      <c r="V22" s="540">
        <v>0</v>
      </c>
      <c r="W22" s="540">
        <v>0</v>
      </c>
      <c r="X22" s="540">
        <v>0</v>
      </c>
      <c r="Y22" s="540">
        <v>0</v>
      </c>
      <c r="Z22" s="540">
        <v>0</v>
      </c>
      <c r="AA22" s="540">
        <v>13320.620155038729</v>
      </c>
      <c r="AB22" s="540">
        <v>0</v>
      </c>
      <c r="AC22" s="540">
        <v>56478.165835115244</v>
      </c>
      <c r="AD22" s="540">
        <v>0</v>
      </c>
      <c r="AE22" s="540">
        <v>849.19999999999573</v>
      </c>
      <c r="AF22" s="540">
        <v>0</v>
      </c>
      <c r="AG22" s="540">
        <v>145100</v>
      </c>
      <c r="AH22" s="540">
        <v>0</v>
      </c>
      <c r="AI22" s="540">
        <v>0</v>
      </c>
      <c r="AJ22" s="540">
        <v>0</v>
      </c>
      <c r="AK22" s="540">
        <v>17465</v>
      </c>
      <c r="AL22" s="540">
        <v>0</v>
      </c>
      <c r="AM22" s="540">
        <v>0</v>
      </c>
      <c r="AN22" s="540">
        <v>0</v>
      </c>
      <c r="AO22" s="540">
        <v>0</v>
      </c>
      <c r="AP22" s="540">
        <v>0</v>
      </c>
      <c r="AQ22" s="540">
        <v>0</v>
      </c>
      <c r="AR22" s="540">
        <v>0</v>
      </c>
      <c r="AS22" s="540">
        <v>0</v>
      </c>
      <c r="AT22" s="540">
        <v>584744</v>
      </c>
      <c r="AU22" s="540">
        <v>248077.985990154</v>
      </c>
      <c r="AV22" s="540">
        <v>162565</v>
      </c>
      <c r="AW22" s="540">
        <v>157111.67185391768</v>
      </c>
      <c r="AX22" s="541">
        <v>995386.98599015397</v>
      </c>
      <c r="AY22" s="541">
        <v>977921.98599015397</v>
      </c>
      <c r="AZ22" s="541">
        <v>4955</v>
      </c>
      <c r="BA22" s="541">
        <v>753160</v>
      </c>
      <c r="BB22" s="541">
        <v>0</v>
      </c>
      <c r="BC22" s="541">
        <v>0</v>
      </c>
      <c r="BD22" s="541">
        <v>995386.98599015397</v>
      </c>
      <c r="BE22" s="540">
        <v>995386.98599015397</v>
      </c>
      <c r="BF22" s="540">
        <v>0</v>
      </c>
      <c r="BG22" s="541">
        <v>770625</v>
      </c>
      <c r="BH22" s="541">
        <v>608060</v>
      </c>
      <c r="BI22" s="540">
        <v>832821.98599015397</v>
      </c>
      <c r="BJ22" s="540">
        <v>5479.0920130931181</v>
      </c>
      <c r="BK22" s="540">
        <v>5239.3007299270066</v>
      </c>
      <c r="BL22" s="542">
        <v>4.5767802904768978E-2</v>
      </c>
      <c r="BM22" s="542">
        <v>-3.3666747622577327E-2</v>
      </c>
      <c r="BN22" s="540">
        <v>-26811.312739772129</v>
      </c>
      <c r="BO22" s="541">
        <v>968575.67325038183</v>
      </c>
      <c r="BP22" s="541">
        <v>6257.3070608577755</v>
      </c>
      <c r="BQ22" s="541" t="s">
        <v>771</v>
      </c>
      <c r="BR22" s="541">
        <v>6372.2083766472488</v>
      </c>
      <c r="BS22" s="542">
        <v>-8.3565162543760563E-3</v>
      </c>
      <c r="BT22" s="540">
        <v>-11814.960000000001</v>
      </c>
      <c r="BU22" s="540">
        <v>956760.71325038187</v>
      </c>
      <c r="BV22" s="540">
        <v>0</v>
      </c>
      <c r="BW22" s="540">
        <v>956760.71325038187</v>
      </c>
      <c r="BX22" s="540">
        <v>17465</v>
      </c>
      <c r="BY22" s="540">
        <v>939295.71325038187</v>
      </c>
      <c r="CA22" s="10"/>
    </row>
    <row r="23" spans="1:79" ht="14.5" x14ac:dyDescent="0.35">
      <c r="A23" s="537">
        <v>112756</v>
      </c>
      <c r="B23" s="537">
        <v>8312457</v>
      </c>
      <c r="C23" s="538" t="s">
        <v>75</v>
      </c>
      <c r="D23" s="537">
        <v>112756</v>
      </c>
      <c r="E23" s="539">
        <v>358</v>
      </c>
      <c r="F23" s="539">
        <v>358</v>
      </c>
      <c r="G23" s="539">
        <v>0</v>
      </c>
      <c r="H23" s="540">
        <v>1377226</v>
      </c>
      <c r="I23" s="540">
        <v>0</v>
      </c>
      <c r="J23" s="540">
        <v>0</v>
      </c>
      <c r="K23" s="540">
        <v>57915.000000000087</v>
      </c>
      <c r="L23" s="540">
        <v>0</v>
      </c>
      <c r="M23" s="540">
        <v>128259.99999999984</v>
      </c>
      <c r="N23" s="540">
        <v>0</v>
      </c>
      <c r="O23" s="540">
        <v>0</v>
      </c>
      <c r="P23" s="540">
        <v>14534.99999999998</v>
      </c>
      <c r="Q23" s="540">
        <v>2669.9999999999923</v>
      </c>
      <c r="R23" s="540">
        <v>0</v>
      </c>
      <c r="S23" s="540">
        <v>13000.000000000004</v>
      </c>
      <c r="T23" s="540">
        <v>0</v>
      </c>
      <c r="U23" s="540">
        <v>0</v>
      </c>
      <c r="V23" s="540">
        <v>0</v>
      </c>
      <c r="W23" s="540">
        <v>0</v>
      </c>
      <c r="X23" s="540">
        <v>0</v>
      </c>
      <c r="Y23" s="540">
        <v>0</v>
      </c>
      <c r="Z23" s="540">
        <v>0</v>
      </c>
      <c r="AA23" s="540">
        <v>37485.000000000022</v>
      </c>
      <c r="AB23" s="540">
        <v>0</v>
      </c>
      <c r="AC23" s="540">
        <v>148816.0230412618</v>
      </c>
      <c r="AD23" s="540">
        <v>0</v>
      </c>
      <c r="AE23" s="540">
        <v>0</v>
      </c>
      <c r="AF23" s="540">
        <v>0</v>
      </c>
      <c r="AG23" s="540">
        <v>145100</v>
      </c>
      <c r="AH23" s="540">
        <v>0</v>
      </c>
      <c r="AI23" s="540">
        <v>0</v>
      </c>
      <c r="AJ23" s="540">
        <v>0</v>
      </c>
      <c r="AK23" s="540">
        <v>24791</v>
      </c>
      <c r="AL23" s="540">
        <v>0</v>
      </c>
      <c r="AM23" s="540">
        <v>0</v>
      </c>
      <c r="AN23" s="540">
        <v>0</v>
      </c>
      <c r="AO23" s="540">
        <v>0</v>
      </c>
      <c r="AP23" s="540">
        <v>0</v>
      </c>
      <c r="AQ23" s="540">
        <v>0</v>
      </c>
      <c r="AR23" s="540">
        <v>0</v>
      </c>
      <c r="AS23" s="540">
        <v>0</v>
      </c>
      <c r="AT23" s="540">
        <v>1377226</v>
      </c>
      <c r="AU23" s="540">
        <v>402681.02304126171</v>
      </c>
      <c r="AV23" s="540">
        <v>169891</v>
      </c>
      <c r="AW23" s="540">
        <v>304546.97993080691</v>
      </c>
      <c r="AX23" s="541">
        <v>1949798.0230412618</v>
      </c>
      <c r="AY23" s="541">
        <v>1925007.0230412618</v>
      </c>
      <c r="AZ23" s="541">
        <v>4955</v>
      </c>
      <c r="BA23" s="541">
        <v>1773890</v>
      </c>
      <c r="BB23" s="541">
        <v>0</v>
      </c>
      <c r="BC23" s="541">
        <v>0</v>
      </c>
      <c r="BD23" s="541">
        <v>1949798.0230412618</v>
      </c>
      <c r="BE23" s="540">
        <v>1949798.0230412616</v>
      </c>
      <c r="BF23" s="540">
        <v>0</v>
      </c>
      <c r="BG23" s="541">
        <v>1798681</v>
      </c>
      <c r="BH23" s="541">
        <v>1628790</v>
      </c>
      <c r="BI23" s="540">
        <v>1779907.0230412618</v>
      </c>
      <c r="BJ23" s="540">
        <v>4971.8073269308989</v>
      </c>
      <c r="BK23" s="540">
        <v>4756.0877500000006</v>
      </c>
      <c r="BL23" s="542">
        <v>4.5356517429876737E-2</v>
      </c>
      <c r="BM23" s="542">
        <v>-3.3323735536517199E-2</v>
      </c>
      <c r="BN23" s="540">
        <v>-56739.638512269958</v>
      </c>
      <c r="BO23" s="541">
        <v>1893058.3845289918</v>
      </c>
      <c r="BP23" s="541">
        <v>5218.6239791312619</v>
      </c>
      <c r="BQ23" s="541" t="s">
        <v>771</v>
      </c>
      <c r="BR23" s="541">
        <v>5287.8725824832172</v>
      </c>
      <c r="BS23" s="542">
        <v>1.1450900087205174E-2</v>
      </c>
      <c r="BT23" s="540">
        <v>-27827.34</v>
      </c>
      <c r="BU23" s="540">
        <v>1865231.0445289917</v>
      </c>
      <c r="BV23" s="540">
        <v>0</v>
      </c>
      <c r="BW23" s="540">
        <v>1865231.0445289917</v>
      </c>
      <c r="BX23" s="540">
        <v>24791</v>
      </c>
      <c r="BY23" s="540">
        <v>1840440.0445289917</v>
      </c>
      <c r="CA23" s="10"/>
    </row>
    <row r="24" spans="1:79" ht="14.5" x14ac:dyDescent="0.35">
      <c r="A24" s="537">
        <v>112757</v>
      </c>
      <c r="B24" s="537">
        <v>8312458</v>
      </c>
      <c r="C24" s="538" t="s">
        <v>76</v>
      </c>
      <c r="D24" s="537">
        <v>112757</v>
      </c>
      <c r="E24" s="539">
        <v>250</v>
      </c>
      <c r="F24" s="539">
        <v>250</v>
      </c>
      <c r="G24" s="539">
        <v>0</v>
      </c>
      <c r="H24" s="540">
        <v>961750</v>
      </c>
      <c r="I24" s="540">
        <v>0</v>
      </c>
      <c r="J24" s="540">
        <v>0</v>
      </c>
      <c r="K24" s="540">
        <v>28215</v>
      </c>
      <c r="L24" s="540">
        <v>0</v>
      </c>
      <c r="M24" s="540">
        <v>60420</v>
      </c>
      <c r="N24" s="540">
        <v>0</v>
      </c>
      <c r="O24" s="540">
        <v>705</v>
      </c>
      <c r="P24" s="540">
        <v>14250</v>
      </c>
      <c r="Q24" s="540">
        <v>3115</v>
      </c>
      <c r="R24" s="540">
        <v>2450</v>
      </c>
      <c r="S24" s="540">
        <v>7280</v>
      </c>
      <c r="T24" s="540">
        <v>0</v>
      </c>
      <c r="U24" s="540">
        <v>0</v>
      </c>
      <c r="V24" s="540">
        <v>0</v>
      </c>
      <c r="W24" s="540">
        <v>0</v>
      </c>
      <c r="X24" s="540">
        <v>0</v>
      </c>
      <c r="Y24" s="540">
        <v>0</v>
      </c>
      <c r="Z24" s="540">
        <v>0</v>
      </c>
      <c r="AA24" s="540">
        <v>89762.931034482754</v>
      </c>
      <c r="AB24" s="540">
        <v>0</v>
      </c>
      <c r="AC24" s="540">
        <v>129046.24277456653</v>
      </c>
      <c r="AD24" s="540">
        <v>0</v>
      </c>
      <c r="AE24" s="540">
        <v>0</v>
      </c>
      <c r="AF24" s="540">
        <v>0</v>
      </c>
      <c r="AG24" s="540">
        <v>145100</v>
      </c>
      <c r="AH24" s="540">
        <v>0</v>
      </c>
      <c r="AI24" s="540">
        <v>0</v>
      </c>
      <c r="AJ24" s="540">
        <v>0</v>
      </c>
      <c r="AK24" s="540">
        <v>15344</v>
      </c>
      <c r="AL24" s="540">
        <v>0</v>
      </c>
      <c r="AM24" s="540">
        <v>0</v>
      </c>
      <c r="AN24" s="540">
        <v>0</v>
      </c>
      <c r="AO24" s="540">
        <v>0</v>
      </c>
      <c r="AP24" s="540">
        <v>0</v>
      </c>
      <c r="AQ24" s="540">
        <v>0</v>
      </c>
      <c r="AR24" s="540">
        <v>0</v>
      </c>
      <c r="AS24" s="540">
        <v>0</v>
      </c>
      <c r="AT24" s="540">
        <v>961750</v>
      </c>
      <c r="AU24" s="540">
        <v>335244.1738090493</v>
      </c>
      <c r="AV24" s="540">
        <v>160444</v>
      </c>
      <c r="AW24" s="540">
        <v>234020.80467410808</v>
      </c>
      <c r="AX24" s="541">
        <v>1457438.1738090492</v>
      </c>
      <c r="AY24" s="541">
        <v>1442094.1738090492</v>
      </c>
      <c r="AZ24" s="541">
        <v>4955</v>
      </c>
      <c r="BA24" s="541">
        <v>1238750</v>
      </c>
      <c r="BB24" s="541">
        <v>0</v>
      </c>
      <c r="BC24" s="541">
        <v>0</v>
      </c>
      <c r="BD24" s="541">
        <v>1457438.1738090492</v>
      </c>
      <c r="BE24" s="540">
        <v>1457438.1738090494</v>
      </c>
      <c r="BF24" s="540">
        <v>0</v>
      </c>
      <c r="BG24" s="541">
        <v>1254094</v>
      </c>
      <c r="BH24" s="541">
        <v>1093650</v>
      </c>
      <c r="BI24" s="540">
        <v>1296994.1738090492</v>
      </c>
      <c r="BJ24" s="540">
        <v>5187.976695236197</v>
      </c>
      <c r="BK24" s="540">
        <v>4907.0115671641797</v>
      </c>
      <c r="BL24" s="542">
        <v>5.725788990434158E-2</v>
      </c>
      <c r="BM24" s="542">
        <v>-4.3249480180220873E-2</v>
      </c>
      <c r="BN24" s="540">
        <v>-53056.42487954544</v>
      </c>
      <c r="BO24" s="541">
        <v>1404381.7489295038</v>
      </c>
      <c r="BP24" s="541">
        <v>5556.1509957180151</v>
      </c>
      <c r="BQ24" s="541" t="s">
        <v>771</v>
      </c>
      <c r="BR24" s="541">
        <v>5617.5269957180153</v>
      </c>
      <c r="BS24" s="542">
        <v>2.0314070158515607E-2</v>
      </c>
      <c r="BT24" s="540">
        <v>-19432.5</v>
      </c>
      <c r="BU24" s="540">
        <v>1384949.2489295038</v>
      </c>
      <c r="BV24" s="540">
        <v>0</v>
      </c>
      <c r="BW24" s="540">
        <v>1384949.2489295038</v>
      </c>
      <c r="BX24" s="540">
        <v>15344</v>
      </c>
      <c r="BY24" s="540">
        <v>1369605.2489295038</v>
      </c>
      <c r="CA24" s="10"/>
    </row>
    <row r="25" spans="1:79" ht="14.5" x14ac:dyDescent="0.35">
      <c r="A25" s="537">
        <v>112758</v>
      </c>
      <c r="B25" s="537">
        <v>8312459</v>
      </c>
      <c r="C25" s="538" t="s">
        <v>77</v>
      </c>
      <c r="D25" s="537">
        <v>112758</v>
      </c>
      <c r="E25" s="539">
        <v>362</v>
      </c>
      <c r="F25" s="539">
        <v>362</v>
      </c>
      <c r="G25" s="539">
        <v>0</v>
      </c>
      <c r="H25" s="540">
        <v>1392614</v>
      </c>
      <c r="I25" s="540">
        <v>0</v>
      </c>
      <c r="J25" s="540">
        <v>0</v>
      </c>
      <c r="K25" s="540">
        <v>14850.000000000004</v>
      </c>
      <c r="L25" s="540">
        <v>0</v>
      </c>
      <c r="M25" s="540">
        <v>36040.000000000015</v>
      </c>
      <c r="N25" s="540">
        <v>0</v>
      </c>
      <c r="O25" s="540">
        <v>705.00000000000011</v>
      </c>
      <c r="P25" s="540">
        <v>3134.9999999999991</v>
      </c>
      <c r="Q25" s="540">
        <v>0</v>
      </c>
      <c r="R25" s="540">
        <v>980.00000000000023</v>
      </c>
      <c r="S25" s="540">
        <v>520.00000000000011</v>
      </c>
      <c r="T25" s="540">
        <v>0</v>
      </c>
      <c r="U25" s="540">
        <v>0</v>
      </c>
      <c r="V25" s="540">
        <v>0</v>
      </c>
      <c r="W25" s="540">
        <v>0</v>
      </c>
      <c r="X25" s="540">
        <v>0</v>
      </c>
      <c r="Y25" s="540">
        <v>0</v>
      </c>
      <c r="Z25" s="540">
        <v>0</v>
      </c>
      <c r="AA25" s="540">
        <v>18613.950617283943</v>
      </c>
      <c r="AB25" s="540">
        <v>0</v>
      </c>
      <c r="AC25" s="540">
        <v>117723.13131313134</v>
      </c>
      <c r="AD25" s="540">
        <v>0</v>
      </c>
      <c r="AE25" s="540">
        <v>0</v>
      </c>
      <c r="AF25" s="540">
        <v>0</v>
      </c>
      <c r="AG25" s="540">
        <v>145100</v>
      </c>
      <c r="AH25" s="540">
        <v>0</v>
      </c>
      <c r="AI25" s="540">
        <v>0</v>
      </c>
      <c r="AJ25" s="540">
        <v>0</v>
      </c>
      <c r="AK25" s="540">
        <v>21083</v>
      </c>
      <c r="AL25" s="540">
        <v>0</v>
      </c>
      <c r="AM25" s="540">
        <v>0</v>
      </c>
      <c r="AN25" s="540">
        <v>0</v>
      </c>
      <c r="AO25" s="540">
        <v>0</v>
      </c>
      <c r="AP25" s="540">
        <v>0</v>
      </c>
      <c r="AQ25" s="540">
        <v>0</v>
      </c>
      <c r="AR25" s="540">
        <v>0</v>
      </c>
      <c r="AS25" s="540">
        <v>0</v>
      </c>
      <c r="AT25" s="540">
        <v>1392614</v>
      </c>
      <c r="AU25" s="540">
        <v>192567.0819304153</v>
      </c>
      <c r="AV25" s="540">
        <v>166183</v>
      </c>
      <c r="AW25" s="540">
        <v>232355.35207070707</v>
      </c>
      <c r="AX25" s="541">
        <v>1751364.0819304152</v>
      </c>
      <c r="AY25" s="541">
        <v>1730281.0819304152</v>
      </c>
      <c r="AZ25" s="541">
        <v>4955</v>
      </c>
      <c r="BA25" s="541">
        <v>1793710</v>
      </c>
      <c r="BB25" s="541">
        <v>63428.918069584761</v>
      </c>
      <c r="BC25" s="541">
        <v>0</v>
      </c>
      <c r="BD25" s="541">
        <v>1814793</v>
      </c>
      <c r="BE25" s="540">
        <v>1814793.0000000002</v>
      </c>
      <c r="BF25" s="540">
        <v>0</v>
      </c>
      <c r="BG25" s="541">
        <v>1814793</v>
      </c>
      <c r="BH25" s="541">
        <v>1648610</v>
      </c>
      <c r="BI25" s="540">
        <v>1648610</v>
      </c>
      <c r="BJ25" s="540">
        <v>4554.1712707182323</v>
      </c>
      <c r="BK25" s="540">
        <v>4530.9544235924932</v>
      </c>
      <c r="BL25" s="542">
        <v>5.1240522316556491E-3</v>
      </c>
      <c r="BM25" s="542">
        <v>0</v>
      </c>
      <c r="BN25" s="540">
        <v>0</v>
      </c>
      <c r="BO25" s="541">
        <v>1814793</v>
      </c>
      <c r="BP25" s="541">
        <v>4955</v>
      </c>
      <c r="BQ25" s="541" t="s">
        <v>771</v>
      </c>
      <c r="BR25" s="541">
        <v>5013.2403314917128</v>
      </c>
      <c r="BS25" s="542">
        <v>7.3858858432231944E-3</v>
      </c>
      <c r="BT25" s="540">
        <v>-28138.260000000002</v>
      </c>
      <c r="BU25" s="540">
        <v>1786654.74</v>
      </c>
      <c r="BV25" s="540">
        <v>0</v>
      </c>
      <c r="BW25" s="540">
        <v>1786654.74</v>
      </c>
      <c r="BX25" s="540">
        <v>21083</v>
      </c>
      <c r="BY25" s="540">
        <v>1765571.74</v>
      </c>
      <c r="CA25" s="10"/>
    </row>
    <row r="26" spans="1:79" ht="14.5" x14ac:dyDescent="0.35">
      <c r="A26" s="537">
        <v>112759</v>
      </c>
      <c r="B26" s="537">
        <v>8312462</v>
      </c>
      <c r="C26" s="538" t="s">
        <v>78</v>
      </c>
      <c r="D26" s="537">
        <v>112759</v>
      </c>
      <c r="E26" s="539">
        <v>238</v>
      </c>
      <c r="F26" s="539">
        <v>238</v>
      </c>
      <c r="G26" s="539">
        <v>0</v>
      </c>
      <c r="H26" s="540">
        <v>915586</v>
      </c>
      <c r="I26" s="540">
        <v>0</v>
      </c>
      <c r="J26" s="540">
        <v>0</v>
      </c>
      <c r="K26" s="540">
        <v>30689.999999999967</v>
      </c>
      <c r="L26" s="540">
        <v>0</v>
      </c>
      <c r="M26" s="540">
        <v>65719.999999999927</v>
      </c>
      <c r="N26" s="540">
        <v>0</v>
      </c>
      <c r="O26" s="540">
        <v>5640.0000000000127</v>
      </c>
      <c r="P26" s="540">
        <v>1995.0000000000032</v>
      </c>
      <c r="Q26" s="540">
        <v>445.00000000000028</v>
      </c>
      <c r="R26" s="540">
        <v>6370</v>
      </c>
      <c r="S26" s="540">
        <v>1559.9999999999973</v>
      </c>
      <c r="T26" s="540">
        <v>2054.9999999999964</v>
      </c>
      <c r="U26" s="540">
        <v>0</v>
      </c>
      <c r="V26" s="540">
        <v>0</v>
      </c>
      <c r="W26" s="540">
        <v>0</v>
      </c>
      <c r="X26" s="540">
        <v>0</v>
      </c>
      <c r="Y26" s="540">
        <v>0</v>
      </c>
      <c r="Z26" s="540">
        <v>0</v>
      </c>
      <c r="AA26" s="540">
        <v>19113.006134969295</v>
      </c>
      <c r="AB26" s="540">
        <v>0</v>
      </c>
      <c r="AC26" s="540">
        <v>76426.086956521758</v>
      </c>
      <c r="AD26" s="540">
        <v>0</v>
      </c>
      <c r="AE26" s="540">
        <v>0</v>
      </c>
      <c r="AF26" s="540">
        <v>0</v>
      </c>
      <c r="AG26" s="540">
        <v>145100</v>
      </c>
      <c r="AH26" s="540">
        <v>0</v>
      </c>
      <c r="AI26" s="540">
        <v>0</v>
      </c>
      <c r="AJ26" s="540">
        <v>0</v>
      </c>
      <c r="AK26" s="540">
        <v>58282</v>
      </c>
      <c r="AL26" s="540">
        <v>0</v>
      </c>
      <c r="AM26" s="540">
        <v>0</v>
      </c>
      <c r="AN26" s="540">
        <v>0</v>
      </c>
      <c r="AO26" s="540">
        <v>0</v>
      </c>
      <c r="AP26" s="540">
        <v>0</v>
      </c>
      <c r="AQ26" s="540">
        <v>0</v>
      </c>
      <c r="AR26" s="540">
        <v>0</v>
      </c>
      <c r="AS26" s="540">
        <v>0</v>
      </c>
      <c r="AT26" s="540">
        <v>915586</v>
      </c>
      <c r="AU26" s="540">
        <v>210014.09309149097</v>
      </c>
      <c r="AV26" s="540">
        <v>203382</v>
      </c>
      <c r="AW26" s="540">
        <v>182524.92950053341</v>
      </c>
      <c r="AX26" s="541">
        <v>1328982.0930914909</v>
      </c>
      <c r="AY26" s="541">
        <v>1270700.0930914909</v>
      </c>
      <c r="AZ26" s="541">
        <v>4955</v>
      </c>
      <c r="BA26" s="541">
        <v>1179290</v>
      </c>
      <c r="BB26" s="541">
        <v>0</v>
      </c>
      <c r="BC26" s="541">
        <v>0</v>
      </c>
      <c r="BD26" s="541">
        <v>1328982.0930914909</v>
      </c>
      <c r="BE26" s="540">
        <v>1328982.0930914909</v>
      </c>
      <c r="BF26" s="540">
        <v>0</v>
      </c>
      <c r="BG26" s="541">
        <v>1237572</v>
      </c>
      <c r="BH26" s="541">
        <v>1034190</v>
      </c>
      <c r="BI26" s="540">
        <v>1125600.0930914909</v>
      </c>
      <c r="BJ26" s="540">
        <v>4729.4121558466004</v>
      </c>
      <c r="BK26" s="540">
        <v>4761.0998</v>
      </c>
      <c r="BL26" s="542">
        <v>-6.655530336373029E-3</v>
      </c>
      <c r="BM26" s="542">
        <v>6.655530336373029E-3</v>
      </c>
      <c r="BN26" s="540">
        <v>7541.6593085090954</v>
      </c>
      <c r="BO26" s="541">
        <v>1336523.7524000001</v>
      </c>
      <c r="BP26" s="541">
        <v>5370.7636655462193</v>
      </c>
      <c r="BQ26" s="541" t="s">
        <v>771</v>
      </c>
      <c r="BR26" s="541">
        <v>5615.6460184873958</v>
      </c>
      <c r="BS26" s="542">
        <v>3.7012415735564241E-2</v>
      </c>
      <c r="BT26" s="540">
        <v>-18499.740000000002</v>
      </c>
      <c r="BU26" s="540">
        <v>1318024.0124000001</v>
      </c>
      <c r="BV26" s="540">
        <v>0</v>
      </c>
      <c r="BW26" s="540">
        <v>1318024.0124000001</v>
      </c>
      <c r="BX26" s="540">
        <v>58282</v>
      </c>
      <c r="BY26" s="540">
        <v>1259742.0124000001</v>
      </c>
      <c r="CA26" s="10"/>
    </row>
    <row r="27" spans="1:79" ht="14.5" x14ac:dyDescent="0.35">
      <c r="A27" s="537">
        <v>112765</v>
      </c>
      <c r="B27" s="537">
        <v>8312469</v>
      </c>
      <c r="C27" s="538" t="s">
        <v>79</v>
      </c>
      <c r="D27" s="537">
        <v>112765</v>
      </c>
      <c r="E27" s="539">
        <v>425</v>
      </c>
      <c r="F27" s="539">
        <v>425</v>
      </c>
      <c r="G27" s="539">
        <v>0</v>
      </c>
      <c r="H27" s="540">
        <v>1634975</v>
      </c>
      <c r="I27" s="540">
        <v>0</v>
      </c>
      <c r="J27" s="540">
        <v>0</v>
      </c>
      <c r="K27" s="540">
        <v>9900.0000000000073</v>
      </c>
      <c r="L27" s="540">
        <v>0</v>
      </c>
      <c r="M27" s="540">
        <v>21200.000000000015</v>
      </c>
      <c r="N27" s="540">
        <v>0</v>
      </c>
      <c r="O27" s="540">
        <v>2585.0000000000027</v>
      </c>
      <c r="P27" s="540">
        <v>285.00000000000023</v>
      </c>
      <c r="Q27" s="540">
        <v>0</v>
      </c>
      <c r="R27" s="540">
        <v>1470.0000000000011</v>
      </c>
      <c r="S27" s="540">
        <v>0</v>
      </c>
      <c r="T27" s="540">
        <v>0</v>
      </c>
      <c r="U27" s="540">
        <v>0</v>
      </c>
      <c r="V27" s="540">
        <v>0</v>
      </c>
      <c r="W27" s="540">
        <v>0</v>
      </c>
      <c r="X27" s="540">
        <v>0</v>
      </c>
      <c r="Y27" s="540">
        <v>0</v>
      </c>
      <c r="Z27" s="540">
        <v>0</v>
      </c>
      <c r="AA27" s="540">
        <v>10565.80779944289</v>
      </c>
      <c r="AB27" s="540">
        <v>0</v>
      </c>
      <c r="AC27" s="540">
        <v>132629.75472244408</v>
      </c>
      <c r="AD27" s="540">
        <v>0</v>
      </c>
      <c r="AE27" s="540">
        <v>0</v>
      </c>
      <c r="AF27" s="540">
        <v>0</v>
      </c>
      <c r="AG27" s="540">
        <v>145100</v>
      </c>
      <c r="AH27" s="540">
        <v>0</v>
      </c>
      <c r="AI27" s="540">
        <v>0</v>
      </c>
      <c r="AJ27" s="540">
        <v>0</v>
      </c>
      <c r="AK27" s="540">
        <v>20459</v>
      </c>
      <c r="AL27" s="540">
        <v>0</v>
      </c>
      <c r="AM27" s="540">
        <v>0</v>
      </c>
      <c r="AN27" s="540">
        <v>0</v>
      </c>
      <c r="AO27" s="540">
        <v>0</v>
      </c>
      <c r="AP27" s="540">
        <v>0</v>
      </c>
      <c r="AQ27" s="540">
        <v>0</v>
      </c>
      <c r="AR27" s="540">
        <v>0</v>
      </c>
      <c r="AS27" s="540">
        <v>0</v>
      </c>
      <c r="AT27" s="540">
        <v>1634975</v>
      </c>
      <c r="AU27" s="540">
        <v>178635.56252188698</v>
      </c>
      <c r="AV27" s="540">
        <v>165559</v>
      </c>
      <c r="AW27" s="540">
        <v>255694.30192166506</v>
      </c>
      <c r="AX27" s="541">
        <v>1979169.562521887</v>
      </c>
      <c r="AY27" s="541">
        <v>1958710.562521887</v>
      </c>
      <c r="AZ27" s="541">
        <v>4955</v>
      </c>
      <c r="BA27" s="541">
        <v>2105875</v>
      </c>
      <c r="BB27" s="541">
        <v>147164.43747811299</v>
      </c>
      <c r="BC27" s="541">
        <v>0</v>
      </c>
      <c r="BD27" s="541">
        <v>2126334</v>
      </c>
      <c r="BE27" s="540">
        <v>2126334</v>
      </c>
      <c r="BF27" s="540">
        <v>0</v>
      </c>
      <c r="BG27" s="541">
        <v>2126334</v>
      </c>
      <c r="BH27" s="541">
        <v>1960775</v>
      </c>
      <c r="BI27" s="540">
        <v>1960775</v>
      </c>
      <c r="BJ27" s="540">
        <v>4613.588235294118</v>
      </c>
      <c r="BK27" s="540">
        <v>4566.5460992907801</v>
      </c>
      <c r="BL27" s="542">
        <v>1.0301469640401502E-2</v>
      </c>
      <c r="BM27" s="542">
        <v>-4.0878256800948518E-3</v>
      </c>
      <c r="BN27" s="540">
        <v>0</v>
      </c>
      <c r="BO27" s="541">
        <v>2126334</v>
      </c>
      <c r="BP27" s="541">
        <v>4955</v>
      </c>
      <c r="BQ27" s="541" t="s">
        <v>771</v>
      </c>
      <c r="BR27" s="541">
        <v>5003.1388235294116</v>
      </c>
      <c r="BS27" s="542">
        <v>9.1167506289033806E-3</v>
      </c>
      <c r="BT27" s="540">
        <v>-33035.25</v>
      </c>
      <c r="BU27" s="540">
        <v>2093298.75</v>
      </c>
      <c r="BV27" s="540">
        <v>0</v>
      </c>
      <c r="BW27" s="540">
        <v>2093298.75</v>
      </c>
      <c r="BX27" s="540">
        <v>20459</v>
      </c>
      <c r="BY27" s="540">
        <v>2072839.75</v>
      </c>
      <c r="CA27" s="10"/>
    </row>
    <row r="28" spans="1:79" ht="14.5" x14ac:dyDescent="0.35">
      <c r="A28" s="537">
        <v>112767</v>
      </c>
      <c r="B28" s="537">
        <v>8312473</v>
      </c>
      <c r="C28" s="538" t="s">
        <v>80</v>
      </c>
      <c r="D28" s="537">
        <v>112767</v>
      </c>
      <c r="E28" s="539">
        <v>248</v>
      </c>
      <c r="F28" s="539">
        <v>248</v>
      </c>
      <c r="G28" s="539">
        <v>0</v>
      </c>
      <c r="H28" s="540">
        <v>954056</v>
      </c>
      <c r="I28" s="540">
        <v>0</v>
      </c>
      <c r="J28" s="540">
        <v>0</v>
      </c>
      <c r="K28" s="540">
        <v>39104.999999999978</v>
      </c>
      <c r="L28" s="540">
        <v>0</v>
      </c>
      <c r="M28" s="540">
        <v>83739.999999999956</v>
      </c>
      <c r="N28" s="540">
        <v>0</v>
      </c>
      <c r="O28" s="540">
        <v>2350.0000000000009</v>
      </c>
      <c r="P28" s="540">
        <v>15674.999999999995</v>
      </c>
      <c r="Q28" s="540">
        <v>0</v>
      </c>
      <c r="R28" s="540">
        <v>8330.0000000000018</v>
      </c>
      <c r="S28" s="540">
        <v>10400.000000000004</v>
      </c>
      <c r="T28" s="540">
        <v>24660.000000000058</v>
      </c>
      <c r="U28" s="540">
        <v>0</v>
      </c>
      <c r="V28" s="540">
        <v>0</v>
      </c>
      <c r="W28" s="540">
        <v>0</v>
      </c>
      <c r="X28" s="540">
        <v>0</v>
      </c>
      <c r="Y28" s="540">
        <v>0</v>
      </c>
      <c r="Z28" s="540">
        <v>0</v>
      </c>
      <c r="AA28" s="540">
        <v>10837.740112994346</v>
      </c>
      <c r="AB28" s="540">
        <v>0</v>
      </c>
      <c r="AC28" s="540">
        <v>149815.81920903965</v>
      </c>
      <c r="AD28" s="540">
        <v>0</v>
      </c>
      <c r="AE28" s="540">
        <v>0</v>
      </c>
      <c r="AF28" s="540">
        <v>0</v>
      </c>
      <c r="AG28" s="540">
        <v>145100</v>
      </c>
      <c r="AH28" s="540">
        <v>0</v>
      </c>
      <c r="AI28" s="540">
        <v>0</v>
      </c>
      <c r="AJ28" s="540">
        <v>0</v>
      </c>
      <c r="AK28" s="540">
        <v>20085</v>
      </c>
      <c r="AL28" s="540">
        <v>0</v>
      </c>
      <c r="AM28" s="540">
        <v>0</v>
      </c>
      <c r="AN28" s="540">
        <v>0</v>
      </c>
      <c r="AO28" s="540">
        <v>0</v>
      </c>
      <c r="AP28" s="540">
        <v>0</v>
      </c>
      <c r="AQ28" s="540">
        <v>0</v>
      </c>
      <c r="AR28" s="540">
        <v>0</v>
      </c>
      <c r="AS28" s="540">
        <v>0</v>
      </c>
      <c r="AT28" s="540">
        <v>954056</v>
      </c>
      <c r="AU28" s="540">
        <v>344913.55932203401</v>
      </c>
      <c r="AV28" s="540">
        <v>165185</v>
      </c>
      <c r="AW28" s="540">
        <v>232094.48661016955</v>
      </c>
      <c r="AX28" s="541">
        <v>1464154.559322034</v>
      </c>
      <c r="AY28" s="541">
        <v>1444069.559322034</v>
      </c>
      <c r="AZ28" s="541">
        <v>4955</v>
      </c>
      <c r="BA28" s="541">
        <v>1228840</v>
      </c>
      <c r="BB28" s="541">
        <v>0</v>
      </c>
      <c r="BC28" s="541">
        <v>0</v>
      </c>
      <c r="BD28" s="541">
        <v>1464154.559322034</v>
      </c>
      <c r="BE28" s="540">
        <v>1464154.559322034</v>
      </c>
      <c r="BF28" s="540">
        <v>0</v>
      </c>
      <c r="BG28" s="541">
        <v>1248925</v>
      </c>
      <c r="BH28" s="541">
        <v>1083740</v>
      </c>
      <c r="BI28" s="540">
        <v>1298969.559322034</v>
      </c>
      <c r="BJ28" s="540">
        <v>5237.7804811372343</v>
      </c>
      <c r="BK28" s="540">
        <v>5072.2730739299604</v>
      </c>
      <c r="BL28" s="542">
        <v>3.2629829820861746E-2</v>
      </c>
      <c r="BM28" s="542">
        <v>-2.2709678070598694E-2</v>
      </c>
      <c r="BN28" s="540">
        <v>-28567.042771588633</v>
      </c>
      <c r="BO28" s="541">
        <v>1435587.5165504455</v>
      </c>
      <c r="BP28" s="541">
        <v>5707.6714377034095</v>
      </c>
      <c r="BQ28" s="541" t="s">
        <v>771</v>
      </c>
      <c r="BR28" s="541">
        <v>5788.6593409292154</v>
      </c>
      <c r="BS28" s="542">
        <v>1.2885890945586009E-2</v>
      </c>
      <c r="BT28" s="540">
        <v>-19277.04</v>
      </c>
      <c r="BU28" s="540">
        <v>1416310.4765504454</v>
      </c>
      <c r="BV28" s="540">
        <v>0</v>
      </c>
      <c r="BW28" s="540">
        <v>1416310.4765504454</v>
      </c>
      <c r="BX28" s="540">
        <v>20085</v>
      </c>
      <c r="BY28" s="540">
        <v>1396225.4765504454</v>
      </c>
      <c r="CA28" s="10"/>
    </row>
    <row r="29" spans="1:79" ht="14.5" x14ac:dyDescent="0.35">
      <c r="A29" s="537">
        <v>112770</v>
      </c>
      <c r="B29" s="537">
        <v>8312505</v>
      </c>
      <c r="C29" s="538" t="s">
        <v>81</v>
      </c>
      <c r="D29" s="537">
        <v>112770</v>
      </c>
      <c r="E29" s="539">
        <v>551</v>
      </c>
      <c r="F29" s="539">
        <v>551</v>
      </c>
      <c r="G29" s="539">
        <v>0</v>
      </c>
      <c r="H29" s="540">
        <v>2119697</v>
      </c>
      <c r="I29" s="540">
        <v>0</v>
      </c>
      <c r="J29" s="540">
        <v>0</v>
      </c>
      <c r="K29" s="540">
        <v>118799.99999999988</v>
      </c>
      <c r="L29" s="540">
        <v>0</v>
      </c>
      <c r="M29" s="540">
        <v>254399.99999999977</v>
      </c>
      <c r="N29" s="540">
        <v>0</v>
      </c>
      <c r="O29" s="540">
        <v>940.00000000000068</v>
      </c>
      <c r="P29" s="540">
        <v>23370.000000000015</v>
      </c>
      <c r="Q29" s="540">
        <v>6230.0000000000073</v>
      </c>
      <c r="R29" s="540">
        <v>35279.999999999964</v>
      </c>
      <c r="S29" s="540">
        <v>71760.000000000015</v>
      </c>
      <c r="T29" s="540">
        <v>4110.0000000000155</v>
      </c>
      <c r="U29" s="540">
        <v>0</v>
      </c>
      <c r="V29" s="540">
        <v>0</v>
      </c>
      <c r="W29" s="540">
        <v>0</v>
      </c>
      <c r="X29" s="540">
        <v>0</v>
      </c>
      <c r="Y29" s="540">
        <v>0</v>
      </c>
      <c r="Z29" s="540">
        <v>0</v>
      </c>
      <c r="AA29" s="540">
        <v>87695.164609053361</v>
      </c>
      <c r="AB29" s="540">
        <v>0</v>
      </c>
      <c r="AC29" s="540">
        <v>248934.03981563612</v>
      </c>
      <c r="AD29" s="540">
        <v>0</v>
      </c>
      <c r="AE29" s="540">
        <v>18277.100000000013</v>
      </c>
      <c r="AF29" s="540">
        <v>0</v>
      </c>
      <c r="AG29" s="540">
        <v>145100</v>
      </c>
      <c r="AH29" s="540">
        <v>0</v>
      </c>
      <c r="AI29" s="540">
        <v>0</v>
      </c>
      <c r="AJ29" s="540">
        <v>0</v>
      </c>
      <c r="AK29" s="540">
        <v>40960</v>
      </c>
      <c r="AL29" s="540">
        <v>0</v>
      </c>
      <c r="AM29" s="540">
        <v>0</v>
      </c>
      <c r="AN29" s="540">
        <v>0</v>
      </c>
      <c r="AO29" s="540">
        <v>0</v>
      </c>
      <c r="AP29" s="540">
        <v>0</v>
      </c>
      <c r="AQ29" s="540">
        <v>0</v>
      </c>
      <c r="AR29" s="540">
        <v>0</v>
      </c>
      <c r="AS29" s="540">
        <v>0</v>
      </c>
      <c r="AT29" s="540">
        <v>2119697</v>
      </c>
      <c r="AU29" s="540">
        <v>869796.30442468903</v>
      </c>
      <c r="AV29" s="540">
        <v>186060</v>
      </c>
      <c r="AW29" s="540">
        <v>569542.60626646841</v>
      </c>
      <c r="AX29" s="541">
        <v>3175553.3044246892</v>
      </c>
      <c r="AY29" s="541">
        <v>3134593.3044246892</v>
      </c>
      <c r="AZ29" s="541">
        <v>4955</v>
      </c>
      <c r="BA29" s="541">
        <v>2730205</v>
      </c>
      <c r="BB29" s="541">
        <v>0</v>
      </c>
      <c r="BC29" s="541">
        <v>0</v>
      </c>
      <c r="BD29" s="541">
        <v>3175553.3044246892</v>
      </c>
      <c r="BE29" s="540">
        <v>3175553.3044246896</v>
      </c>
      <c r="BF29" s="540">
        <v>0</v>
      </c>
      <c r="BG29" s="541">
        <v>2771165</v>
      </c>
      <c r="BH29" s="541">
        <v>2585105</v>
      </c>
      <c r="BI29" s="540">
        <v>2989493.3044246892</v>
      </c>
      <c r="BJ29" s="540">
        <v>5425.5776849812873</v>
      </c>
      <c r="BK29" s="540">
        <v>5296.6344684684682</v>
      </c>
      <c r="BL29" s="542">
        <v>2.4344367594259026E-2</v>
      </c>
      <c r="BM29" s="542">
        <v>-1.5799602573612029E-2</v>
      </c>
      <c r="BN29" s="540">
        <v>-46110.280488302618</v>
      </c>
      <c r="BO29" s="541">
        <v>3129443.0239363867</v>
      </c>
      <c r="BP29" s="541">
        <v>5605.2323483418995</v>
      </c>
      <c r="BQ29" s="541" t="s">
        <v>771</v>
      </c>
      <c r="BR29" s="541">
        <v>5679.5699163999761</v>
      </c>
      <c r="BS29" s="542">
        <v>8.4682599888641352E-3</v>
      </c>
      <c r="BT29" s="540">
        <v>-42829.23</v>
      </c>
      <c r="BU29" s="540">
        <v>3086613.7939363867</v>
      </c>
      <c r="BV29" s="540">
        <v>0</v>
      </c>
      <c r="BW29" s="540">
        <v>3086613.7939363867</v>
      </c>
      <c r="BX29" s="540">
        <v>40960</v>
      </c>
      <c r="BY29" s="540">
        <v>3045653.7939363867</v>
      </c>
      <c r="CA29" s="10"/>
    </row>
    <row r="30" spans="1:79" ht="14.5" x14ac:dyDescent="0.35">
      <c r="A30" s="537">
        <v>112790</v>
      </c>
      <c r="B30" s="537">
        <v>8312627</v>
      </c>
      <c r="C30" s="538" t="s">
        <v>82</v>
      </c>
      <c r="D30" s="537">
        <v>112790</v>
      </c>
      <c r="E30" s="539">
        <v>411</v>
      </c>
      <c r="F30" s="539">
        <v>411</v>
      </c>
      <c r="G30" s="539">
        <v>0</v>
      </c>
      <c r="H30" s="540">
        <v>1581117</v>
      </c>
      <c r="I30" s="540">
        <v>0</v>
      </c>
      <c r="J30" s="540">
        <v>0</v>
      </c>
      <c r="K30" s="540">
        <v>27225.000000000095</v>
      </c>
      <c r="L30" s="540">
        <v>0</v>
      </c>
      <c r="M30" s="540">
        <v>58300.000000000204</v>
      </c>
      <c r="N30" s="540">
        <v>0</v>
      </c>
      <c r="O30" s="540">
        <v>4464.9999999999991</v>
      </c>
      <c r="P30" s="540">
        <v>2564.9999999999995</v>
      </c>
      <c r="Q30" s="540">
        <v>444.99999999999994</v>
      </c>
      <c r="R30" s="540">
        <v>1959.9999999999998</v>
      </c>
      <c r="S30" s="540">
        <v>519.99999999999989</v>
      </c>
      <c r="T30" s="540">
        <v>0</v>
      </c>
      <c r="U30" s="540">
        <v>0</v>
      </c>
      <c r="V30" s="540">
        <v>0</v>
      </c>
      <c r="W30" s="540">
        <v>0</v>
      </c>
      <c r="X30" s="540">
        <v>0</v>
      </c>
      <c r="Y30" s="540">
        <v>0</v>
      </c>
      <c r="Z30" s="540">
        <v>0</v>
      </c>
      <c r="AA30" s="540">
        <v>31926.708333333441</v>
      </c>
      <c r="AB30" s="540">
        <v>0</v>
      </c>
      <c r="AC30" s="540">
        <v>143354.69279710212</v>
      </c>
      <c r="AD30" s="540">
        <v>0</v>
      </c>
      <c r="AE30" s="540">
        <v>0</v>
      </c>
      <c r="AF30" s="540">
        <v>0</v>
      </c>
      <c r="AG30" s="540">
        <v>145100</v>
      </c>
      <c r="AH30" s="540">
        <v>0</v>
      </c>
      <c r="AI30" s="540">
        <v>0</v>
      </c>
      <c r="AJ30" s="540">
        <v>0</v>
      </c>
      <c r="AK30" s="540">
        <v>20659</v>
      </c>
      <c r="AL30" s="540">
        <v>0</v>
      </c>
      <c r="AM30" s="540">
        <v>0</v>
      </c>
      <c r="AN30" s="540">
        <v>0</v>
      </c>
      <c r="AO30" s="540">
        <v>0</v>
      </c>
      <c r="AP30" s="540">
        <v>0</v>
      </c>
      <c r="AQ30" s="540">
        <v>0</v>
      </c>
      <c r="AR30" s="540">
        <v>0</v>
      </c>
      <c r="AS30" s="540">
        <v>0</v>
      </c>
      <c r="AT30" s="540">
        <v>1581117</v>
      </c>
      <c r="AU30" s="540">
        <v>270761.40113043587</v>
      </c>
      <c r="AV30" s="540">
        <v>165759</v>
      </c>
      <c r="AW30" s="540">
        <v>282409.27511456551</v>
      </c>
      <c r="AX30" s="541">
        <v>2017637.401130436</v>
      </c>
      <c r="AY30" s="541">
        <v>1996978.401130436</v>
      </c>
      <c r="AZ30" s="541">
        <v>4955</v>
      </c>
      <c r="BA30" s="541">
        <v>2036505</v>
      </c>
      <c r="BB30" s="541">
        <v>39526.598869564012</v>
      </c>
      <c r="BC30" s="541">
        <v>0</v>
      </c>
      <c r="BD30" s="541">
        <v>2057164</v>
      </c>
      <c r="BE30" s="540">
        <v>2057163.9999999998</v>
      </c>
      <c r="BF30" s="540">
        <v>0</v>
      </c>
      <c r="BG30" s="541">
        <v>2057164</v>
      </c>
      <c r="BH30" s="541">
        <v>1891405</v>
      </c>
      <c r="BI30" s="540">
        <v>1891405</v>
      </c>
      <c r="BJ30" s="540">
        <v>4601.9586374695864</v>
      </c>
      <c r="BK30" s="540">
        <v>4586.3758865248228</v>
      </c>
      <c r="BL30" s="542">
        <v>3.397617493705013E-3</v>
      </c>
      <c r="BM30" s="542">
        <v>0</v>
      </c>
      <c r="BN30" s="540">
        <v>0</v>
      </c>
      <c r="BO30" s="541">
        <v>2057164</v>
      </c>
      <c r="BP30" s="541">
        <v>4955</v>
      </c>
      <c r="BQ30" s="541" t="s">
        <v>771</v>
      </c>
      <c r="BR30" s="541">
        <v>5005.2652068126517</v>
      </c>
      <c r="BS30" s="542">
        <v>5.428437741239911E-3</v>
      </c>
      <c r="BT30" s="540">
        <v>-31947.030000000002</v>
      </c>
      <c r="BU30" s="540">
        <v>2025216.97</v>
      </c>
      <c r="BV30" s="540">
        <v>0</v>
      </c>
      <c r="BW30" s="540">
        <v>2025216.97</v>
      </c>
      <c r="BX30" s="540">
        <v>20659</v>
      </c>
      <c r="BY30" s="540">
        <v>2004557.97</v>
      </c>
      <c r="CA30" s="10"/>
    </row>
    <row r="31" spans="1:79" ht="14.5" x14ac:dyDescent="0.35">
      <c r="A31" s="537">
        <v>112915</v>
      </c>
      <c r="B31" s="537">
        <v>8313526</v>
      </c>
      <c r="C31" s="538" t="s">
        <v>83</v>
      </c>
      <c r="D31" s="537">
        <v>112915</v>
      </c>
      <c r="E31" s="539">
        <v>90</v>
      </c>
      <c r="F31" s="539">
        <v>90</v>
      </c>
      <c r="G31" s="539">
        <v>0</v>
      </c>
      <c r="H31" s="540">
        <v>346230</v>
      </c>
      <c r="I31" s="540">
        <v>0</v>
      </c>
      <c r="J31" s="540">
        <v>0</v>
      </c>
      <c r="K31" s="540">
        <v>14849.999999999984</v>
      </c>
      <c r="L31" s="540">
        <v>0</v>
      </c>
      <c r="M31" s="540">
        <v>32859.999999999956</v>
      </c>
      <c r="N31" s="540">
        <v>0</v>
      </c>
      <c r="O31" s="540">
        <v>234.99999999999974</v>
      </c>
      <c r="P31" s="540">
        <v>13394.999999999996</v>
      </c>
      <c r="Q31" s="540">
        <v>4894.9999999999909</v>
      </c>
      <c r="R31" s="540">
        <v>11270.00000000002</v>
      </c>
      <c r="S31" s="540">
        <v>519.99999999999943</v>
      </c>
      <c r="T31" s="540">
        <v>2054.9999999999977</v>
      </c>
      <c r="U31" s="540">
        <v>0</v>
      </c>
      <c r="V31" s="540">
        <v>0</v>
      </c>
      <c r="W31" s="540">
        <v>0</v>
      </c>
      <c r="X31" s="540">
        <v>0</v>
      </c>
      <c r="Y31" s="540">
        <v>0</v>
      </c>
      <c r="Z31" s="540">
        <v>0</v>
      </c>
      <c r="AA31" s="540">
        <v>44624.999999999985</v>
      </c>
      <c r="AB31" s="540">
        <v>0</v>
      </c>
      <c r="AC31" s="540">
        <v>40377.272727272757</v>
      </c>
      <c r="AD31" s="540">
        <v>0</v>
      </c>
      <c r="AE31" s="540">
        <v>6368.9999999999718</v>
      </c>
      <c r="AF31" s="540">
        <v>0</v>
      </c>
      <c r="AG31" s="540">
        <v>145100</v>
      </c>
      <c r="AH31" s="540">
        <v>0</v>
      </c>
      <c r="AI31" s="540">
        <v>0</v>
      </c>
      <c r="AJ31" s="540">
        <v>0</v>
      </c>
      <c r="AK31" s="540">
        <v>1818</v>
      </c>
      <c r="AL31" s="540">
        <v>0</v>
      </c>
      <c r="AM31" s="540">
        <v>0</v>
      </c>
      <c r="AN31" s="540">
        <v>0</v>
      </c>
      <c r="AO31" s="540">
        <v>0</v>
      </c>
      <c r="AP31" s="540">
        <v>0</v>
      </c>
      <c r="AQ31" s="540">
        <v>0</v>
      </c>
      <c r="AR31" s="540">
        <v>0</v>
      </c>
      <c r="AS31" s="540">
        <v>0</v>
      </c>
      <c r="AT31" s="540">
        <v>346230</v>
      </c>
      <c r="AU31" s="540">
        <v>171451.27272727265</v>
      </c>
      <c r="AV31" s="540">
        <v>146918</v>
      </c>
      <c r="AW31" s="540">
        <v>107038.78295454542</v>
      </c>
      <c r="AX31" s="541">
        <v>664599.27272727271</v>
      </c>
      <c r="AY31" s="541">
        <v>662781.27272727271</v>
      </c>
      <c r="AZ31" s="541">
        <v>4955</v>
      </c>
      <c r="BA31" s="541">
        <v>445950</v>
      </c>
      <c r="BB31" s="541">
        <v>0</v>
      </c>
      <c r="BC31" s="541">
        <v>0</v>
      </c>
      <c r="BD31" s="541">
        <v>664599.27272727271</v>
      </c>
      <c r="BE31" s="540">
        <v>664599.27272727271</v>
      </c>
      <c r="BF31" s="540">
        <v>0</v>
      </c>
      <c r="BG31" s="541">
        <v>447768</v>
      </c>
      <c r="BH31" s="541">
        <v>300850</v>
      </c>
      <c r="BI31" s="540">
        <v>517681.27272727271</v>
      </c>
      <c r="BJ31" s="540">
        <v>5752.0141414141408</v>
      </c>
      <c r="BK31" s="540">
        <v>5804.9810000000007</v>
      </c>
      <c r="BL31" s="542">
        <v>-9.1243810420499009E-3</v>
      </c>
      <c r="BM31" s="542">
        <v>9.1243810420499009E-3</v>
      </c>
      <c r="BN31" s="540">
        <v>4767.0172727273894</v>
      </c>
      <c r="BO31" s="541">
        <v>669366.29</v>
      </c>
      <c r="BP31" s="541">
        <v>7417.2032222222224</v>
      </c>
      <c r="BQ31" s="541" t="s">
        <v>771</v>
      </c>
      <c r="BR31" s="541">
        <v>7437.4032222222222</v>
      </c>
      <c r="BS31" s="542">
        <v>6.9548225187565649E-5</v>
      </c>
      <c r="BT31" s="540">
        <v>-6995.7000000000007</v>
      </c>
      <c r="BU31" s="540">
        <v>662370.59000000008</v>
      </c>
      <c r="BV31" s="540">
        <v>0</v>
      </c>
      <c r="BW31" s="540">
        <v>662370.59000000008</v>
      </c>
      <c r="BX31" s="540">
        <v>1818</v>
      </c>
      <c r="BY31" s="540">
        <v>660552.59000000008</v>
      </c>
      <c r="CA31" s="10"/>
    </row>
    <row r="32" spans="1:79" ht="14.5" x14ac:dyDescent="0.35">
      <c r="A32" s="537">
        <v>112983</v>
      </c>
      <c r="B32" s="537">
        <v>8315209</v>
      </c>
      <c r="C32" s="538" t="s">
        <v>84</v>
      </c>
      <c r="D32" s="537">
        <v>112983</v>
      </c>
      <c r="E32" s="539">
        <v>276</v>
      </c>
      <c r="F32" s="539">
        <v>276</v>
      </c>
      <c r="G32" s="539">
        <v>0</v>
      </c>
      <c r="H32" s="540">
        <v>1061772</v>
      </c>
      <c r="I32" s="540">
        <v>0</v>
      </c>
      <c r="J32" s="540">
        <v>0</v>
      </c>
      <c r="K32" s="540">
        <v>57915.000000000015</v>
      </c>
      <c r="L32" s="540">
        <v>0</v>
      </c>
      <c r="M32" s="540">
        <v>132500.00000000012</v>
      </c>
      <c r="N32" s="540">
        <v>0</v>
      </c>
      <c r="O32" s="540">
        <v>20445.000000000011</v>
      </c>
      <c r="P32" s="540">
        <v>5129.9999999999982</v>
      </c>
      <c r="Q32" s="540">
        <v>0</v>
      </c>
      <c r="R32" s="540">
        <v>14210.000000000009</v>
      </c>
      <c r="S32" s="540">
        <v>23400.000000000062</v>
      </c>
      <c r="T32" s="540">
        <v>10959.999999999996</v>
      </c>
      <c r="U32" s="540">
        <v>0</v>
      </c>
      <c r="V32" s="540">
        <v>0</v>
      </c>
      <c r="W32" s="540">
        <v>0</v>
      </c>
      <c r="X32" s="540">
        <v>0</v>
      </c>
      <c r="Y32" s="540">
        <v>0</v>
      </c>
      <c r="Z32" s="540">
        <v>0</v>
      </c>
      <c r="AA32" s="540">
        <v>14874.999999999995</v>
      </c>
      <c r="AB32" s="540">
        <v>0</v>
      </c>
      <c r="AC32" s="540">
        <v>119417.64712646326</v>
      </c>
      <c r="AD32" s="540">
        <v>0</v>
      </c>
      <c r="AE32" s="540">
        <v>5249.5999999999913</v>
      </c>
      <c r="AF32" s="540">
        <v>0</v>
      </c>
      <c r="AG32" s="540">
        <v>145100</v>
      </c>
      <c r="AH32" s="540">
        <v>0</v>
      </c>
      <c r="AI32" s="540">
        <v>0</v>
      </c>
      <c r="AJ32" s="540">
        <v>0</v>
      </c>
      <c r="AK32" s="540">
        <v>4872</v>
      </c>
      <c r="AL32" s="540">
        <v>0</v>
      </c>
      <c r="AM32" s="540">
        <v>0</v>
      </c>
      <c r="AN32" s="540">
        <v>0</v>
      </c>
      <c r="AO32" s="540">
        <v>0</v>
      </c>
      <c r="AP32" s="540">
        <v>0</v>
      </c>
      <c r="AQ32" s="540">
        <v>0</v>
      </c>
      <c r="AR32" s="540">
        <v>0</v>
      </c>
      <c r="AS32" s="540">
        <v>0</v>
      </c>
      <c r="AT32" s="540">
        <v>1061772</v>
      </c>
      <c r="AU32" s="540">
        <v>404102.24712646339</v>
      </c>
      <c r="AV32" s="540">
        <v>149972</v>
      </c>
      <c r="AW32" s="540">
        <v>270389.26869828446</v>
      </c>
      <c r="AX32" s="541">
        <v>1615846.2471264633</v>
      </c>
      <c r="AY32" s="541">
        <v>1610974.2471264633</v>
      </c>
      <c r="AZ32" s="541">
        <v>4955</v>
      </c>
      <c r="BA32" s="541">
        <v>1367580</v>
      </c>
      <c r="BB32" s="541">
        <v>0</v>
      </c>
      <c r="BC32" s="541">
        <v>0</v>
      </c>
      <c r="BD32" s="541">
        <v>1615846.2471264633</v>
      </c>
      <c r="BE32" s="540">
        <v>1615846.2471264633</v>
      </c>
      <c r="BF32" s="540">
        <v>0</v>
      </c>
      <c r="BG32" s="541">
        <v>1372452</v>
      </c>
      <c r="BH32" s="541">
        <v>1222480</v>
      </c>
      <c r="BI32" s="540">
        <v>1465874.2471264633</v>
      </c>
      <c r="BJ32" s="540">
        <v>5311.1385765451569</v>
      </c>
      <c r="BK32" s="540">
        <v>5120.5418881118876</v>
      </c>
      <c r="BL32" s="542">
        <v>3.7221976227900466E-2</v>
      </c>
      <c r="BM32" s="542">
        <v>-2.6539528174068985E-2</v>
      </c>
      <c r="BN32" s="540">
        <v>-37507.507334868649</v>
      </c>
      <c r="BO32" s="541">
        <v>1578338.7397915947</v>
      </c>
      <c r="BP32" s="541">
        <v>5700.9664485202702</v>
      </c>
      <c r="BQ32" s="541" t="s">
        <v>771</v>
      </c>
      <c r="BR32" s="541">
        <v>5718.6186224333142</v>
      </c>
      <c r="BS32" s="542">
        <v>1.3055830434225646E-2</v>
      </c>
      <c r="BT32" s="540">
        <v>-21453.48</v>
      </c>
      <c r="BU32" s="540">
        <v>1556885.2597915947</v>
      </c>
      <c r="BV32" s="540">
        <v>0</v>
      </c>
      <c r="BW32" s="540">
        <v>1556885.2597915947</v>
      </c>
      <c r="BX32" s="540">
        <v>4872</v>
      </c>
      <c r="BY32" s="540">
        <v>1552013.2597915947</v>
      </c>
      <c r="CA32" s="10"/>
    </row>
    <row r="33" spans="1:79" ht="14.5" x14ac:dyDescent="0.35">
      <c r="A33" s="537">
        <v>112956</v>
      </c>
      <c r="B33" s="537">
        <v>8314182</v>
      </c>
      <c r="C33" s="538" t="s">
        <v>85</v>
      </c>
      <c r="D33" s="537">
        <v>112956</v>
      </c>
      <c r="E33" s="539">
        <v>1469</v>
      </c>
      <c r="F33" s="539">
        <v>0</v>
      </c>
      <c r="G33" s="539">
        <v>1469</v>
      </c>
      <c r="H33" s="540">
        <v>0</v>
      </c>
      <c r="I33" s="540">
        <v>4787626</v>
      </c>
      <c r="J33" s="540">
        <v>3582218</v>
      </c>
      <c r="K33" s="540">
        <v>0</v>
      </c>
      <c r="L33" s="540">
        <v>105435.00000000004</v>
      </c>
      <c r="M33" s="540">
        <v>0</v>
      </c>
      <c r="N33" s="540">
        <v>410520</v>
      </c>
      <c r="O33" s="540">
        <v>0</v>
      </c>
      <c r="P33" s="540">
        <v>0</v>
      </c>
      <c r="Q33" s="540">
        <v>0</v>
      </c>
      <c r="R33" s="540">
        <v>0</v>
      </c>
      <c r="S33" s="540">
        <v>0</v>
      </c>
      <c r="T33" s="540">
        <v>0</v>
      </c>
      <c r="U33" s="540">
        <v>44880</v>
      </c>
      <c r="V33" s="540">
        <v>23400.000000000018</v>
      </c>
      <c r="W33" s="540">
        <v>19684.999999999964</v>
      </c>
      <c r="X33" s="540">
        <v>4169.9999999999982</v>
      </c>
      <c r="Y33" s="540">
        <v>5959.9999999999982</v>
      </c>
      <c r="Z33" s="540">
        <v>0</v>
      </c>
      <c r="AA33" s="540">
        <v>0</v>
      </c>
      <c r="AB33" s="540">
        <v>43123.711656441665</v>
      </c>
      <c r="AC33" s="540">
        <v>0</v>
      </c>
      <c r="AD33" s="540">
        <v>484005.19659981813</v>
      </c>
      <c r="AE33" s="540">
        <v>0</v>
      </c>
      <c r="AF33" s="540">
        <v>0</v>
      </c>
      <c r="AG33" s="540">
        <v>145100</v>
      </c>
      <c r="AH33" s="540">
        <v>0</v>
      </c>
      <c r="AI33" s="540">
        <v>0</v>
      </c>
      <c r="AJ33" s="540">
        <v>0</v>
      </c>
      <c r="AK33" s="540">
        <v>168960</v>
      </c>
      <c r="AL33" s="540">
        <v>0</v>
      </c>
      <c r="AM33" s="540">
        <v>0</v>
      </c>
      <c r="AN33" s="540">
        <v>0</v>
      </c>
      <c r="AO33" s="540">
        <v>0</v>
      </c>
      <c r="AP33" s="540">
        <v>0</v>
      </c>
      <c r="AQ33" s="540">
        <v>0</v>
      </c>
      <c r="AR33" s="540">
        <v>0</v>
      </c>
      <c r="AS33" s="540">
        <v>0</v>
      </c>
      <c r="AT33" s="540">
        <v>8369844</v>
      </c>
      <c r="AU33" s="540">
        <v>1141178.9082562597</v>
      </c>
      <c r="AV33" s="540">
        <v>314060</v>
      </c>
      <c r="AW33" s="540">
        <v>1163360.4828218461</v>
      </c>
      <c r="AX33" s="541">
        <v>9825082.9082562588</v>
      </c>
      <c r="AY33" s="541">
        <v>9656122.9082562588</v>
      </c>
      <c r="AZ33" s="541">
        <v>6465</v>
      </c>
      <c r="BA33" s="541">
        <v>9497085</v>
      </c>
      <c r="BB33" s="541">
        <v>0</v>
      </c>
      <c r="BC33" s="541">
        <v>0</v>
      </c>
      <c r="BD33" s="541">
        <v>9825082.9082562588</v>
      </c>
      <c r="BE33" s="540">
        <v>0</v>
      </c>
      <c r="BF33" s="540">
        <v>9825082.9082562607</v>
      </c>
      <c r="BG33" s="541">
        <v>9666045</v>
      </c>
      <c r="BH33" s="541">
        <v>9351985</v>
      </c>
      <c r="BI33" s="540">
        <v>9511022.9082562588</v>
      </c>
      <c r="BJ33" s="540">
        <v>6474.4880246809116</v>
      </c>
      <c r="BK33" s="540">
        <v>6391.5448534424004</v>
      </c>
      <c r="BL33" s="542">
        <v>1.2977014656142037E-2</v>
      </c>
      <c r="BM33" s="542">
        <v>-6.3192302232224582E-3</v>
      </c>
      <c r="BN33" s="540">
        <v>-59332.386170693149</v>
      </c>
      <c r="BO33" s="541">
        <v>9765750.5220855661</v>
      </c>
      <c r="BP33" s="541">
        <v>6532.8730579207395</v>
      </c>
      <c r="BQ33" s="541" t="s">
        <v>771</v>
      </c>
      <c r="BR33" s="541">
        <v>6647.8900763005895</v>
      </c>
      <c r="BS33" s="542">
        <v>6.3978867468774681E-3</v>
      </c>
      <c r="BT33" s="540">
        <v>-97761.95</v>
      </c>
      <c r="BU33" s="540">
        <v>9667988.5720855668</v>
      </c>
      <c r="BV33" s="540">
        <v>0</v>
      </c>
      <c r="BW33" s="540">
        <v>9667988.5720855668</v>
      </c>
      <c r="BX33" s="540">
        <v>168960</v>
      </c>
      <c r="BY33" s="540">
        <v>9499028.5720855668</v>
      </c>
      <c r="CA33" s="10"/>
    </row>
    <row r="34" spans="1:79" ht="14.5" x14ac:dyDescent="0.35">
      <c r="A34" s="537">
        <v>112991</v>
      </c>
      <c r="B34" s="537">
        <v>8315406</v>
      </c>
      <c r="C34" s="538" t="s">
        <v>86</v>
      </c>
      <c r="D34" s="537">
        <v>112991</v>
      </c>
      <c r="E34" s="539">
        <v>1239.58</v>
      </c>
      <c r="F34" s="539">
        <v>0</v>
      </c>
      <c r="G34" s="539">
        <v>1239.58</v>
      </c>
      <c r="H34" s="540">
        <v>0</v>
      </c>
      <c r="I34" s="540">
        <v>4384120.76</v>
      </c>
      <c r="J34" s="540">
        <v>2634703</v>
      </c>
      <c r="K34" s="540">
        <v>0</v>
      </c>
      <c r="L34" s="540">
        <v>197226.03214285689</v>
      </c>
      <c r="M34" s="540">
        <v>0</v>
      </c>
      <c r="N34" s="540">
        <v>686808.65456810629</v>
      </c>
      <c r="O34" s="540">
        <v>0</v>
      </c>
      <c r="P34" s="540">
        <v>0</v>
      </c>
      <c r="Q34" s="540">
        <v>0</v>
      </c>
      <c r="R34" s="540">
        <v>0</v>
      </c>
      <c r="S34" s="540">
        <v>0</v>
      </c>
      <c r="T34" s="540">
        <v>0</v>
      </c>
      <c r="U34" s="540">
        <v>119366.20033222581</v>
      </c>
      <c r="V34" s="540">
        <v>37527.151993355459</v>
      </c>
      <c r="W34" s="540">
        <v>34649.555564784074</v>
      </c>
      <c r="X34" s="540">
        <v>67976.137458471727</v>
      </c>
      <c r="Y34" s="540">
        <v>17641.364867109642</v>
      </c>
      <c r="Z34" s="540">
        <v>29342.217607973434</v>
      </c>
      <c r="AA34" s="540">
        <v>0</v>
      </c>
      <c r="AB34" s="540">
        <v>85461.982709891963</v>
      </c>
      <c r="AC34" s="540">
        <v>0</v>
      </c>
      <c r="AD34" s="540">
        <v>545741.34033127804</v>
      </c>
      <c r="AE34" s="540">
        <v>0</v>
      </c>
      <c r="AF34" s="540">
        <v>0</v>
      </c>
      <c r="AG34" s="540">
        <v>145100</v>
      </c>
      <c r="AH34" s="540">
        <v>0</v>
      </c>
      <c r="AI34" s="540">
        <v>0</v>
      </c>
      <c r="AJ34" s="540">
        <v>0</v>
      </c>
      <c r="AK34" s="540">
        <v>29696</v>
      </c>
      <c r="AL34" s="540">
        <v>0</v>
      </c>
      <c r="AM34" s="540">
        <v>0</v>
      </c>
      <c r="AN34" s="540">
        <v>0</v>
      </c>
      <c r="AO34" s="540">
        <v>0</v>
      </c>
      <c r="AP34" s="540">
        <v>0</v>
      </c>
      <c r="AQ34" s="540">
        <v>0</v>
      </c>
      <c r="AR34" s="540">
        <v>0</v>
      </c>
      <c r="AS34" s="540">
        <v>0</v>
      </c>
      <c r="AT34" s="540">
        <v>7018823.7599999998</v>
      </c>
      <c r="AU34" s="540">
        <v>1821740.6375760532</v>
      </c>
      <c r="AV34" s="540">
        <v>174796</v>
      </c>
      <c r="AW34" s="540">
        <v>1282528.0923256953</v>
      </c>
      <c r="AX34" s="541">
        <v>9015360.3975760527</v>
      </c>
      <c r="AY34" s="541">
        <v>8985664.3975760527</v>
      </c>
      <c r="AZ34" s="541">
        <v>6465</v>
      </c>
      <c r="BA34" s="541">
        <v>8013884.6999999993</v>
      </c>
      <c r="BB34" s="541">
        <v>0</v>
      </c>
      <c r="BC34" s="541">
        <v>0</v>
      </c>
      <c r="BD34" s="541">
        <v>9015360.3975760527</v>
      </c>
      <c r="BE34" s="540">
        <v>0</v>
      </c>
      <c r="BF34" s="540">
        <v>9015360.3975760546</v>
      </c>
      <c r="BG34" s="541">
        <v>8043580.6999999993</v>
      </c>
      <c r="BH34" s="541">
        <v>7868784.6999999993</v>
      </c>
      <c r="BI34" s="540">
        <v>8840564.3975760527</v>
      </c>
      <c r="BJ34" s="540">
        <v>7131.9030619855539</v>
      </c>
      <c r="BK34" s="540">
        <v>7137.953882828283</v>
      </c>
      <c r="BL34" s="542">
        <v>-8.4769682489620603E-4</v>
      </c>
      <c r="BM34" s="542">
        <v>8.4769682489620603E-4</v>
      </c>
      <c r="BN34" s="540">
        <v>7500.4765002301137</v>
      </c>
      <c r="BO34" s="541">
        <v>9022860.8740762826</v>
      </c>
      <c r="BP34" s="541">
        <v>7255.0096597849943</v>
      </c>
      <c r="BQ34" s="541" t="s">
        <v>771</v>
      </c>
      <c r="BR34" s="541">
        <v>7278.9661611806287</v>
      </c>
      <c r="BS34" s="542">
        <v>-8.4040183306210992E-4</v>
      </c>
      <c r="BT34" s="540">
        <v>-82494.048999999985</v>
      </c>
      <c r="BU34" s="540">
        <v>8940366.825076282</v>
      </c>
      <c r="BV34" s="540">
        <v>0</v>
      </c>
      <c r="BW34" s="540">
        <v>8940366.825076282</v>
      </c>
      <c r="BX34" s="540">
        <v>29696</v>
      </c>
      <c r="BY34" s="540">
        <v>8910670.825076282</v>
      </c>
      <c r="CA34" s="10"/>
    </row>
    <row r="35" spans="1:79" ht="14.5" x14ac:dyDescent="0.35">
      <c r="A35" s="537">
        <v>112951</v>
      </c>
      <c r="B35" s="537">
        <v>8314177</v>
      </c>
      <c r="C35" s="538" t="s">
        <v>87</v>
      </c>
      <c r="D35" s="537">
        <v>112951</v>
      </c>
      <c r="E35" s="539">
        <v>1398</v>
      </c>
      <c r="F35" s="539">
        <v>396</v>
      </c>
      <c r="G35" s="539">
        <v>1002</v>
      </c>
      <c r="H35" s="540">
        <v>1523412</v>
      </c>
      <c r="I35" s="540">
        <v>3329108</v>
      </c>
      <c r="J35" s="540">
        <v>2371844</v>
      </c>
      <c r="K35" s="540">
        <v>62369.999999999964</v>
      </c>
      <c r="L35" s="540">
        <v>234630.00000000006</v>
      </c>
      <c r="M35" s="540">
        <v>138860.00000000009</v>
      </c>
      <c r="N35" s="540">
        <v>835035.00000000035</v>
      </c>
      <c r="O35" s="540">
        <v>6110.0000000000045</v>
      </c>
      <c r="P35" s="540">
        <v>31350.000000000029</v>
      </c>
      <c r="Q35" s="540">
        <v>27590.000000000076</v>
      </c>
      <c r="R35" s="540">
        <v>35280.000000000036</v>
      </c>
      <c r="S35" s="540">
        <v>20280.000000000004</v>
      </c>
      <c r="T35" s="540">
        <v>6164.9999999999927</v>
      </c>
      <c r="U35" s="540">
        <v>36380.000000000146</v>
      </c>
      <c r="V35" s="540">
        <v>89100.00000000016</v>
      </c>
      <c r="W35" s="540">
        <v>185420.0000000002</v>
      </c>
      <c r="X35" s="540">
        <v>143864.99999999971</v>
      </c>
      <c r="Y35" s="540">
        <v>44700.000000000007</v>
      </c>
      <c r="Z35" s="540">
        <v>33250.000000000022</v>
      </c>
      <c r="AA35" s="540">
        <v>70618.09798270902</v>
      </c>
      <c r="AB35" s="540">
        <v>227153.90862944088</v>
      </c>
      <c r="AC35" s="540">
        <v>190996.94607931335</v>
      </c>
      <c r="AD35" s="540">
        <v>694511.69864868757</v>
      </c>
      <c r="AE35" s="540">
        <v>45586.599999999889</v>
      </c>
      <c r="AF35" s="540">
        <v>105093.80000000047</v>
      </c>
      <c r="AG35" s="540">
        <v>145100</v>
      </c>
      <c r="AH35" s="540">
        <v>0</v>
      </c>
      <c r="AI35" s="540">
        <v>0</v>
      </c>
      <c r="AJ35" s="540">
        <v>0</v>
      </c>
      <c r="AK35" s="540">
        <v>25856</v>
      </c>
      <c r="AL35" s="540">
        <v>0</v>
      </c>
      <c r="AM35" s="540">
        <v>0</v>
      </c>
      <c r="AN35" s="540">
        <v>0</v>
      </c>
      <c r="AO35" s="540">
        <v>0</v>
      </c>
      <c r="AP35" s="540">
        <v>0</v>
      </c>
      <c r="AQ35" s="540">
        <v>0</v>
      </c>
      <c r="AR35" s="540">
        <v>0</v>
      </c>
      <c r="AS35" s="540">
        <v>0</v>
      </c>
      <c r="AT35" s="540">
        <v>7224364</v>
      </c>
      <c r="AU35" s="540">
        <v>3264346.051340152</v>
      </c>
      <c r="AV35" s="540">
        <v>170956</v>
      </c>
      <c r="AW35" s="540">
        <v>1946398.3922729464</v>
      </c>
      <c r="AX35" s="541">
        <v>10659666.051340152</v>
      </c>
      <c r="AY35" s="541">
        <v>10633810.051340152</v>
      </c>
      <c r="AZ35" s="541">
        <v>5584.166666666667</v>
      </c>
      <c r="BA35" s="541">
        <v>7806665</v>
      </c>
      <c r="BB35" s="541">
        <v>0</v>
      </c>
      <c r="BC35" s="541">
        <v>0</v>
      </c>
      <c r="BD35" s="541">
        <v>10659666.051340152</v>
      </c>
      <c r="BE35" s="540">
        <v>2207043.9487830526</v>
      </c>
      <c r="BF35" s="540">
        <v>8452622.1025570985</v>
      </c>
      <c r="BG35" s="541">
        <v>7832521</v>
      </c>
      <c r="BH35" s="541">
        <v>7661565</v>
      </c>
      <c r="BI35" s="540">
        <v>10488710.051340152</v>
      </c>
      <c r="BJ35" s="540">
        <v>7502.6538278541857</v>
      </c>
      <c r="BK35" s="540">
        <v>7512.1250409530903</v>
      </c>
      <c r="BL35" s="542">
        <v>-1.2607901289277501E-3</v>
      </c>
      <c r="BM35" s="542">
        <v>1.2607901289277501E-3</v>
      </c>
      <c r="BN35" s="540">
        <v>13240.755912268669</v>
      </c>
      <c r="BO35" s="541">
        <v>10672906.80725242</v>
      </c>
      <c r="BP35" s="541">
        <v>7615.9161711390698</v>
      </c>
      <c r="BQ35" s="541" t="s">
        <v>771</v>
      </c>
      <c r="BR35" s="541">
        <v>7634.4111639859948</v>
      </c>
      <c r="BS35" s="542">
        <v>-6.555465160615892E-4</v>
      </c>
      <c r="BT35" s="540">
        <v>-97464.18</v>
      </c>
      <c r="BU35" s="540">
        <v>10575442.62725242</v>
      </c>
      <c r="BV35" s="540">
        <v>0</v>
      </c>
      <c r="BW35" s="540">
        <v>10575442.62725242</v>
      </c>
      <c r="BX35" s="540">
        <v>25856</v>
      </c>
      <c r="BY35" s="540">
        <v>10549586.62725242</v>
      </c>
      <c r="CA35" s="10"/>
    </row>
    <row r="36" spans="1:79" ht="14.5" x14ac:dyDescent="0.35">
      <c r="A36" s="537">
        <v>146579</v>
      </c>
      <c r="B36" s="537">
        <v>8312002</v>
      </c>
      <c r="C36" s="538" t="s">
        <v>88</v>
      </c>
      <c r="D36" s="537">
        <v>146579</v>
      </c>
      <c r="E36" s="539">
        <v>421</v>
      </c>
      <c r="F36" s="539">
        <v>421</v>
      </c>
      <c r="G36" s="539">
        <v>0</v>
      </c>
      <c r="H36" s="540">
        <v>1619587</v>
      </c>
      <c r="I36" s="540">
        <v>0</v>
      </c>
      <c r="J36" s="540">
        <v>0</v>
      </c>
      <c r="K36" s="540">
        <v>17820</v>
      </c>
      <c r="L36" s="540">
        <v>0</v>
      </c>
      <c r="M36" s="540">
        <v>38160</v>
      </c>
      <c r="N36" s="540">
        <v>0</v>
      </c>
      <c r="O36" s="540">
        <v>17666.964285714326</v>
      </c>
      <c r="P36" s="540">
        <v>2285.4285714285656</v>
      </c>
      <c r="Q36" s="540">
        <v>1784.2380952380945</v>
      </c>
      <c r="R36" s="540">
        <v>1473.4999999999993</v>
      </c>
      <c r="S36" s="540">
        <v>0</v>
      </c>
      <c r="T36" s="540">
        <v>0</v>
      </c>
      <c r="U36" s="540">
        <v>0</v>
      </c>
      <c r="V36" s="540">
        <v>0</v>
      </c>
      <c r="W36" s="540">
        <v>0</v>
      </c>
      <c r="X36" s="540">
        <v>0</v>
      </c>
      <c r="Y36" s="540">
        <v>0</v>
      </c>
      <c r="Z36" s="540">
        <v>0</v>
      </c>
      <c r="AA36" s="540">
        <v>20816.759002770072</v>
      </c>
      <c r="AB36" s="540">
        <v>0</v>
      </c>
      <c r="AC36" s="540">
        <v>110321.02561392103</v>
      </c>
      <c r="AD36" s="540">
        <v>0</v>
      </c>
      <c r="AE36" s="540">
        <v>0</v>
      </c>
      <c r="AF36" s="540">
        <v>0</v>
      </c>
      <c r="AG36" s="540">
        <v>145100</v>
      </c>
      <c r="AH36" s="540">
        <v>0</v>
      </c>
      <c r="AI36" s="540">
        <v>0</v>
      </c>
      <c r="AJ36" s="540">
        <v>0</v>
      </c>
      <c r="AK36" s="540">
        <v>11674</v>
      </c>
      <c r="AL36" s="540">
        <v>0</v>
      </c>
      <c r="AM36" s="540">
        <v>0</v>
      </c>
      <c r="AN36" s="540">
        <v>0</v>
      </c>
      <c r="AO36" s="540">
        <v>0</v>
      </c>
      <c r="AP36" s="540">
        <v>0</v>
      </c>
      <c r="AQ36" s="540">
        <v>0</v>
      </c>
      <c r="AR36" s="540">
        <v>0</v>
      </c>
      <c r="AS36" s="540">
        <v>0</v>
      </c>
      <c r="AT36" s="540">
        <v>1619587</v>
      </c>
      <c r="AU36" s="540">
        <v>210327.91556907207</v>
      </c>
      <c r="AV36" s="540">
        <v>156774</v>
      </c>
      <c r="AW36" s="540">
        <v>266180.60390181321</v>
      </c>
      <c r="AX36" s="541">
        <v>1986688.9155690721</v>
      </c>
      <c r="AY36" s="541">
        <v>1975014.9155690721</v>
      </c>
      <c r="AZ36" s="541">
        <v>4955</v>
      </c>
      <c r="BA36" s="541">
        <v>2086055</v>
      </c>
      <c r="BB36" s="541">
        <v>111040.08443092788</v>
      </c>
      <c r="BC36" s="541">
        <v>0</v>
      </c>
      <c r="BD36" s="541">
        <v>2097729</v>
      </c>
      <c r="BE36" s="540">
        <v>2097729</v>
      </c>
      <c r="BF36" s="540">
        <v>0</v>
      </c>
      <c r="BG36" s="541">
        <v>2097729</v>
      </c>
      <c r="BH36" s="541">
        <v>1940955</v>
      </c>
      <c r="BI36" s="540">
        <v>1940955</v>
      </c>
      <c r="BJ36" s="540">
        <v>4610.3444180522565</v>
      </c>
      <c r="BK36" s="540">
        <v>4576.9154929577462</v>
      </c>
      <c r="BL36" s="542">
        <v>7.3038108625657593E-3</v>
      </c>
      <c r="BM36" s="542">
        <v>-1.5877782593798429E-3</v>
      </c>
      <c r="BN36" s="540">
        <v>0</v>
      </c>
      <c r="BO36" s="541">
        <v>2097729</v>
      </c>
      <c r="BP36" s="541">
        <v>4955</v>
      </c>
      <c r="BQ36" s="541" t="s">
        <v>771</v>
      </c>
      <c r="BR36" s="541">
        <v>4982.729216152019</v>
      </c>
      <c r="BS36" s="542">
        <v>7.6443120655125263E-3</v>
      </c>
      <c r="BT36" s="540">
        <v>0</v>
      </c>
      <c r="BU36" s="540">
        <v>2097729</v>
      </c>
      <c r="BV36" s="540">
        <v>0</v>
      </c>
      <c r="BW36" s="540">
        <v>2097729</v>
      </c>
      <c r="BX36" s="540">
        <v>11674</v>
      </c>
      <c r="BY36" s="540">
        <v>2086055</v>
      </c>
      <c r="CA36" s="10"/>
    </row>
    <row r="37" spans="1:79" ht="14.5" x14ac:dyDescent="0.35">
      <c r="A37" s="537">
        <v>146877</v>
      </c>
      <c r="B37" s="537">
        <v>8312004</v>
      </c>
      <c r="C37" s="538" t="s">
        <v>89</v>
      </c>
      <c r="D37" s="537">
        <v>146877</v>
      </c>
      <c r="E37" s="539">
        <v>235</v>
      </c>
      <c r="F37" s="539">
        <v>235</v>
      </c>
      <c r="G37" s="539">
        <v>0</v>
      </c>
      <c r="H37" s="540">
        <v>904045</v>
      </c>
      <c r="I37" s="540">
        <v>0</v>
      </c>
      <c r="J37" s="540">
        <v>0</v>
      </c>
      <c r="K37" s="540">
        <v>56925.000000000051</v>
      </c>
      <c r="L37" s="540">
        <v>0</v>
      </c>
      <c r="M37" s="540">
        <v>121900.0000000001</v>
      </c>
      <c r="N37" s="540">
        <v>0</v>
      </c>
      <c r="O37" s="540">
        <v>11279.999999999989</v>
      </c>
      <c r="P37" s="540">
        <v>6269.9999999999973</v>
      </c>
      <c r="Q37" s="540">
        <v>8454.9999999999964</v>
      </c>
      <c r="R37" s="540">
        <v>2939.9999999999973</v>
      </c>
      <c r="S37" s="540">
        <v>6759.9999999999991</v>
      </c>
      <c r="T37" s="540">
        <v>69869.999999999942</v>
      </c>
      <c r="U37" s="540">
        <v>0</v>
      </c>
      <c r="V37" s="540">
        <v>0</v>
      </c>
      <c r="W37" s="540">
        <v>0</v>
      </c>
      <c r="X37" s="540">
        <v>0</v>
      </c>
      <c r="Y37" s="540">
        <v>0</v>
      </c>
      <c r="Z37" s="540">
        <v>0</v>
      </c>
      <c r="AA37" s="540">
        <v>17647.815533980625</v>
      </c>
      <c r="AB37" s="540">
        <v>0</v>
      </c>
      <c r="AC37" s="540">
        <v>91538.816652097914</v>
      </c>
      <c r="AD37" s="540">
        <v>0</v>
      </c>
      <c r="AE37" s="540">
        <v>8588.4999999999982</v>
      </c>
      <c r="AF37" s="540">
        <v>0</v>
      </c>
      <c r="AG37" s="540">
        <v>145100</v>
      </c>
      <c r="AH37" s="540">
        <v>0</v>
      </c>
      <c r="AI37" s="540">
        <v>0</v>
      </c>
      <c r="AJ37" s="540">
        <v>0</v>
      </c>
      <c r="AK37" s="540">
        <v>5530</v>
      </c>
      <c r="AL37" s="540">
        <v>0</v>
      </c>
      <c r="AM37" s="540">
        <v>0</v>
      </c>
      <c r="AN37" s="540">
        <v>0</v>
      </c>
      <c r="AO37" s="540">
        <v>0</v>
      </c>
      <c r="AP37" s="540">
        <v>0</v>
      </c>
      <c r="AQ37" s="540">
        <v>0</v>
      </c>
      <c r="AR37" s="540">
        <v>0</v>
      </c>
      <c r="AS37" s="540">
        <v>0</v>
      </c>
      <c r="AT37" s="540">
        <v>904045</v>
      </c>
      <c r="AU37" s="540">
        <v>402175.13218607864</v>
      </c>
      <c r="AV37" s="540">
        <v>150630</v>
      </c>
      <c r="AW37" s="540">
        <v>253914.11849166083</v>
      </c>
      <c r="AX37" s="541">
        <v>1456850.1321860787</v>
      </c>
      <c r="AY37" s="541">
        <v>1451320.1321860787</v>
      </c>
      <c r="AZ37" s="541">
        <v>4955</v>
      </c>
      <c r="BA37" s="541">
        <v>1164425</v>
      </c>
      <c r="BB37" s="541">
        <v>0</v>
      </c>
      <c r="BC37" s="541">
        <v>0</v>
      </c>
      <c r="BD37" s="541">
        <v>1456850.1321860787</v>
      </c>
      <c r="BE37" s="540">
        <v>1456850.1321860787</v>
      </c>
      <c r="BF37" s="540">
        <v>0</v>
      </c>
      <c r="BG37" s="541">
        <v>1169955</v>
      </c>
      <c r="BH37" s="541">
        <v>1019325</v>
      </c>
      <c r="BI37" s="540">
        <v>1306220.1321860787</v>
      </c>
      <c r="BJ37" s="540">
        <v>5558.3835412173557</v>
      </c>
      <c r="BK37" s="540">
        <v>5533.7128346456684</v>
      </c>
      <c r="BL37" s="542">
        <v>4.4582556610505853E-3</v>
      </c>
      <c r="BM37" s="542">
        <v>0</v>
      </c>
      <c r="BN37" s="540">
        <v>0</v>
      </c>
      <c r="BO37" s="541">
        <v>1456850.1321860787</v>
      </c>
      <c r="BP37" s="541">
        <v>6175.8303497279949</v>
      </c>
      <c r="BQ37" s="541" t="s">
        <v>771</v>
      </c>
      <c r="BR37" s="541">
        <v>6199.3622646216118</v>
      </c>
      <c r="BS37" s="542">
        <v>1.1852873804127473E-2</v>
      </c>
      <c r="BT37" s="540">
        <v>0</v>
      </c>
      <c r="BU37" s="540">
        <v>1456850.1321860787</v>
      </c>
      <c r="BV37" s="540">
        <v>0</v>
      </c>
      <c r="BW37" s="540">
        <v>1456850.1321860787</v>
      </c>
      <c r="BX37" s="540">
        <v>5530</v>
      </c>
      <c r="BY37" s="540">
        <v>1451320.1321860787</v>
      </c>
      <c r="CA37" s="10"/>
    </row>
    <row r="38" spans="1:79" ht="14.5" x14ac:dyDescent="0.35">
      <c r="A38" s="537">
        <v>146477</v>
      </c>
      <c r="B38" s="537">
        <v>8312006</v>
      </c>
      <c r="C38" s="538" t="s">
        <v>90</v>
      </c>
      <c r="D38" s="537">
        <v>146477</v>
      </c>
      <c r="E38" s="539">
        <v>309</v>
      </c>
      <c r="F38" s="539">
        <v>309</v>
      </c>
      <c r="G38" s="539">
        <v>0</v>
      </c>
      <c r="H38" s="540">
        <v>1188723</v>
      </c>
      <c r="I38" s="540">
        <v>0</v>
      </c>
      <c r="J38" s="540">
        <v>0</v>
      </c>
      <c r="K38" s="540">
        <v>6930.0000000000018</v>
      </c>
      <c r="L38" s="540">
        <v>0</v>
      </c>
      <c r="M38" s="540">
        <v>16959.999999999996</v>
      </c>
      <c r="N38" s="540">
        <v>0</v>
      </c>
      <c r="O38" s="540">
        <v>2584.9999999999982</v>
      </c>
      <c r="P38" s="540">
        <v>285.00000000000023</v>
      </c>
      <c r="Q38" s="540">
        <v>0</v>
      </c>
      <c r="R38" s="540">
        <v>0</v>
      </c>
      <c r="S38" s="540">
        <v>520.00000000000045</v>
      </c>
      <c r="T38" s="540">
        <v>0</v>
      </c>
      <c r="U38" s="540">
        <v>0</v>
      </c>
      <c r="V38" s="540">
        <v>0</v>
      </c>
      <c r="W38" s="540">
        <v>0</v>
      </c>
      <c r="X38" s="540">
        <v>0</v>
      </c>
      <c r="Y38" s="540">
        <v>0</v>
      </c>
      <c r="Z38" s="540">
        <v>0</v>
      </c>
      <c r="AA38" s="540">
        <v>43874.488636363705</v>
      </c>
      <c r="AB38" s="540">
        <v>0</v>
      </c>
      <c r="AC38" s="540">
        <v>83721.686666902955</v>
      </c>
      <c r="AD38" s="540">
        <v>0</v>
      </c>
      <c r="AE38" s="540">
        <v>0</v>
      </c>
      <c r="AF38" s="540">
        <v>0</v>
      </c>
      <c r="AG38" s="540">
        <v>145100</v>
      </c>
      <c r="AH38" s="540">
        <v>0</v>
      </c>
      <c r="AI38" s="540">
        <v>0</v>
      </c>
      <c r="AJ38" s="540">
        <v>0</v>
      </c>
      <c r="AK38" s="540">
        <v>8010</v>
      </c>
      <c r="AL38" s="540">
        <v>0</v>
      </c>
      <c r="AM38" s="540">
        <v>0</v>
      </c>
      <c r="AN38" s="540">
        <v>0</v>
      </c>
      <c r="AO38" s="540">
        <v>0</v>
      </c>
      <c r="AP38" s="540">
        <v>0</v>
      </c>
      <c r="AQ38" s="540">
        <v>0</v>
      </c>
      <c r="AR38" s="540">
        <v>0</v>
      </c>
      <c r="AS38" s="540">
        <v>0</v>
      </c>
      <c r="AT38" s="540">
        <v>1188723</v>
      </c>
      <c r="AU38" s="540">
        <v>154876.17530326667</v>
      </c>
      <c r="AV38" s="540">
        <v>153110</v>
      </c>
      <c r="AW38" s="540">
        <v>196834.93664893982</v>
      </c>
      <c r="AX38" s="541">
        <v>1496709.1753032666</v>
      </c>
      <c r="AY38" s="541">
        <v>1488699.1753032666</v>
      </c>
      <c r="AZ38" s="541">
        <v>4955</v>
      </c>
      <c r="BA38" s="541">
        <v>1531095</v>
      </c>
      <c r="BB38" s="541">
        <v>42395.824696733383</v>
      </c>
      <c r="BC38" s="541">
        <v>0</v>
      </c>
      <c r="BD38" s="541">
        <v>1539105</v>
      </c>
      <c r="BE38" s="540">
        <v>1539105</v>
      </c>
      <c r="BF38" s="540">
        <v>0</v>
      </c>
      <c r="BG38" s="541">
        <v>1539105</v>
      </c>
      <c r="BH38" s="541">
        <v>1385995</v>
      </c>
      <c r="BI38" s="540">
        <v>1385995</v>
      </c>
      <c r="BJ38" s="540">
        <v>4485.4207119741104</v>
      </c>
      <c r="BK38" s="540">
        <v>4444.1850649350654</v>
      </c>
      <c r="BL38" s="542">
        <v>9.2785620842833951E-3</v>
      </c>
      <c r="BM38" s="542">
        <v>-3.2347207782923511E-3</v>
      </c>
      <c r="BN38" s="540">
        <v>0</v>
      </c>
      <c r="BO38" s="541">
        <v>1539105</v>
      </c>
      <c r="BP38" s="541">
        <v>4955</v>
      </c>
      <c r="BQ38" s="541" t="s">
        <v>771</v>
      </c>
      <c r="BR38" s="541">
        <v>4980.9223300970871</v>
      </c>
      <c r="BS38" s="542">
        <v>8.0196641699299409E-3</v>
      </c>
      <c r="BT38" s="540">
        <v>0</v>
      </c>
      <c r="BU38" s="540">
        <v>1539105</v>
      </c>
      <c r="BV38" s="540">
        <v>0</v>
      </c>
      <c r="BW38" s="540">
        <v>1539105</v>
      </c>
      <c r="BX38" s="540">
        <v>8010</v>
      </c>
      <c r="BY38" s="540">
        <v>1531095</v>
      </c>
      <c r="CA38" s="10"/>
    </row>
    <row r="39" spans="1:79" ht="14.5" x14ac:dyDescent="0.35">
      <c r="A39" s="537">
        <v>138443</v>
      </c>
      <c r="B39" s="537">
        <v>8312007</v>
      </c>
      <c r="C39" s="538" t="s">
        <v>91</v>
      </c>
      <c r="D39" s="537">
        <v>138443</v>
      </c>
      <c r="E39" s="539">
        <v>403</v>
      </c>
      <c r="F39" s="539">
        <v>403</v>
      </c>
      <c r="G39" s="539">
        <v>0</v>
      </c>
      <c r="H39" s="540">
        <v>1550341</v>
      </c>
      <c r="I39" s="540">
        <v>0</v>
      </c>
      <c r="J39" s="540">
        <v>0</v>
      </c>
      <c r="K39" s="540">
        <v>60885.000000000022</v>
      </c>
      <c r="L39" s="540">
        <v>0</v>
      </c>
      <c r="M39" s="540">
        <v>132499.9999999998</v>
      </c>
      <c r="N39" s="540">
        <v>0</v>
      </c>
      <c r="O39" s="540">
        <v>6110.0000000000045</v>
      </c>
      <c r="P39" s="540">
        <v>19379.999999999942</v>
      </c>
      <c r="Q39" s="540">
        <v>0</v>
      </c>
      <c r="R39" s="540">
        <v>30380.000000000029</v>
      </c>
      <c r="S39" s="540">
        <v>82160.000000000015</v>
      </c>
      <c r="T39" s="540">
        <v>6164.9999999999882</v>
      </c>
      <c r="U39" s="540">
        <v>0</v>
      </c>
      <c r="V39" s="540">
        <v>0</v>
      </c>
      <c r="W39" s="540">
        <v>0</v>
      </c>
      <c r="X39" s="540">
        <v>0</v>
      </c>
      <c r="Y39" s="540">
        <v>0</v>
      </c>
      <c r="Z39" s="540">
        <v>0</v>
      </c>
      <c r="AA39" s="540">
        <v>39964.166666666744</v>
      </c>
      <c r="AB39" s="540">
        <v>0</v>
      </c>
      <c r="AC39" s="540">
        <v>126648.64440094221</v>
      </c>
      <c r="AD39" s="540">
        <v>0</v>
      </c>
      <c r="AE39" s="540">
        <v>1756.3000000000163</v>
      </c>
      <c r="AF39" s="540">
        <v>0</v>
      </c>
      <c r="AG39" s="540">
        <v>145100</v>
      </c>
      <c r="AH39" s="540">
        <v>0</v>
      </c>
      <c r="AI39" s="540">
        <v>0</v>
      </c>
      <c r="AJ39" s="540">
        <v>0</v>
      </c>
      <c r="AK39" s="540">
        <v>7139</v>
      </c>
      <c r="AL39" s="540">
        <v>0</v>
      </c>
      <c r="AM39" s="540">
        <v>0</v>
      </c>
      <c r="AN39" s="540">
        <v>0</v>
      </c>
      <c r="AO39" s="540">
        <v>0</v>
      </c>
      <c r="AP39" s="540">
        <v>0</v>
      </c>
      <c r="AQ39" s="540">
        <v>0</v>
      </c>
      <c r="AR39" s="540">
        <v>0</v>
      </c>
      <c r="AS39" s="540">
        <v>0</v>
      </c>
      <c r="AT39" s="540">
        <v>1550341</v>
      </c>
      <c r="AU39" s="540">
        <v>505949.11106760876</v>
      </c>
      <c r="AV39" s="540">
        <v>152239</v>
      </c>
      <c r="AW39" s="540">
        <v>363644.00656930381</v>
      </c>
      <c r="AX39" s="541">
        <v>2208529.1110676089</v>
      </c>
      <c r="AY39" s="541">
        <v>2201390.1110676089</v>
      </c>
      <c r="AZ39" s="541">
        <v>4955</v>
      </c>
      <c r="BA39" s="541">
        <v>1996865</v>
      </c>
      <c r="BB39" s="541">
        <v>0</v>
      </c>
      <c r="BC39" s="541">
        <v>0</v>
      </c>
      <c r="BD39" s="541">
        <v>2208529.1110676089</v>
      </c>
      <c r="BE39" s="540">
        <v>2208529.1110676089</v>
      </c>
      <c r="BF39" s="540">
        <v>0</v>
      </c>
      <c r="BG39" s="541">
        <v>2004004</v>
      </c>
      <c r="BH39" s="541">
        <v>1851765</v>
      </c>
      <c r="BI39" s="540">
        <v>2056290.1110676089</v>
      </c>
      <c r="BJ39" s="540">
        <v>5102.4568512843898</v>
      </c>
      <c r="BK39" s="540">
        <v>5098.985081206496</v>
      </c>
      <c r="BL39" s="542">
        <v>6.8087472753936885E-4</v>
      </c>
      <c r="BM39" s="542">
        <v>0</v>
      </c>
      <c r="BN39" s="540">
        <v>0</v>
      </c>
      <c r="BO39" s="541">
        <v>2208529.1110676089</v>
      </c>
      <c r="BP39" s="541">
        <v>5462.5064790759525</v>
      </c>
      <c r="BQ39" s="541" t="s">
        <v>771</v>
      </c>
      <c r="BR39" s="541">
        <v>5480.2211192744635</v>
      </c>
      <c r="BS39" s="542">
        <v>5.1381447702729677E-3</v>
      </c>
      <c r="BT39" s="540">
        <v>0</v>
      </c>
      <c r="BU39" s="540">
        <v>2208529.1110676089</v>
      </c>
      <c r="BV39" s="540">
        <v>0</v>
      </c>
      <c r="BW39" s="540">
        <v>2208529.1110676089</v>
      </c>
      <c r="BX39" s="540">
        <v>7139</v>
      </c>
      <c r="BY39" s="540">
        <v>2201390.1110676089</v>
      </c>
      <c r="CA39" s="10"/>
    </row>
    <row r="40" spans="1:79" ht="14.5" x14ac:dyDescent="0.35">
      <c r="A40" s="537">
        <v>138514</v>
      </c>
      <c r="B40" s="537">
        <v>8312008</v>
      </c>
      <c r="C40" s="538" t="s">
        <v>92</v>
      </c>
      <c r="D40" s="537">
        <v>138514</v>
      </c>
      <c r="E40" s="539">
        <v>181</v>
      </c>
      <c r="F40" s="539">
        <v>181</v>
      </c>
      <c r="G40" s="539">
        <v>0</v>
      </c>
      <c r="H40" s="540">
        <v>696307</v>
      </c>
      <c r="I40" s="540">
        <v>0</v>
      </c>
      <c r="J40" s="540">
        <v>0</v>
      </c>
      <c r="K40" s="540">
        <v>15344.999999999982</v>
      </c>
      <c r="L40" s="540">
        <v>0</v>
      </c>
      <c r="M40" s="540">
        <v>36039.999999999942</v>
      </c>
      <c r="N40" s="540">
        <v>0</v>
      </c>
      <c r="O40" s="540">
        <v>7491.9602272727425</v>
      </c>
      <c r="P40" s="540">
        <v>7913.6079545454595</v>
      </c>
      <c r="Q40" s="540">
        <v>457.64204545454533</v>
      </c>
      <c r="R40" s="540">
        <v>18141.136363636404</v>
      </c>
      <c r="S40" s="540">
        <v>13369.318181818224</v>
      </c>
      <c r="T40" s="540">
        <v>8453.5227272727298</v>
      </c>
      <c r="U40" s="540">
        <v>0</v>
      </c>
      <c r="V40" s="540">
        <v>0</v>
      </c>
      <c r="W40" s="540">
        <v>0</v>
      </c>
      <c r="X40" s="540">
        <v>0</v>
      </c>
      <c r="Y40" s="540">
        <v>0</v>
      </c>
      <c r="Z40" s="540">
        <v>0</v>
      </c>
      <c r="AA40" s="540">
        <v>19231.250000000044</v>
      </c>
      <c r="AB40" s="540">
        <v>0</v>
      </c>
      <c r="AC40" s="540">
        <v>55503.022050571039</v>
      </c>
      <c r="AD40" s="540">
        <v>0</v>
      </c>
      <c r="AE40" s="540">
        <v>3030.0999999999926</v>
      </c>
      <c r="AF40" s="540">
        <v>0</v>
      </c>
      <c r="AG40" s="540">
        <v>145100</v>
      </c>
      <c r="AH40" s="540">
        <v>0</v>
      </c>
      <c r="AI40" s="540">
        <v>0</v>
      </c>
      <c r="AJ40" s="540">
        <v>0</v>
      </c>
      <c r="AK40" s="540">
        <v>4217</v>
      </c>
      <c r="AL40" s="540">
        <v>0</v>
      </c>
      <c r="AM40" s="540">
        <v>0</v>
      </c>
      <c r="AN40" s="540">
        <v>0</v>
      </c>
      <c r="AO40" s="540">
        <v>0</v>
      </c>
      <c r="AP40" s="540">
        <v>0</v>
      </c>
      <c r="AQ40" s="540">
        <v>0</v>
      </c>
      <c r="AR40" s="540">
        <v>0</v>
      </c>
      <c r="AS40" s="540">
        <v>0</v>
      </c>
      <c r="AT40" s="540">
        <v>696307</v>
      </c>
      <c r="AU40" s="540">
        <v>184976.55955057114</v>
      </c>
      <c r="AV40" s="540">
        <v>149317</v>
      </c>
      <c r="AW40" s="540">
        <v>149981.07633005918</v>
      </c>
      <c r="AX40" s="541">
        <v>1030600.5595505711</v>
      </c>
      <c r="AY40" s="541">
        <v>1026383.5595505711</v>
      </c>
      <c r="AZ40" s="541">
        <v>4955</v>
      </c>
      <c r="BA40" s="541">
        <v>896855</v>
      </c>
      <c r="BB40" s="541">
        <v>0</v>
      </c>
      <c r="BC40" s="541">
        <v>0</v>
      </c>
      <c r="BD40" s="541">
        <v>1030600.5595505711</v>
      </c>
      <c r="BE40" s="540">
        <v>1030600.559550571</v>
      </c>
      <c r="BF40" s="540">
        <v>0</v>
      </c>
      <c r="BG40" s="541">
        <v>901072</v>
      </c>
      <c r="BH40" s="541">
        <v>751755</v>
      </c>
      <c r="BI40" s="540">
        <v>881283.55955057114</v>
      </c>
      <c r="BJ40" s="540">
        <v>4868.9699422683489</v>
      </c>
      <c r="BK40" s="540">
        <v>4803.131813471502</v>
      </c>
      <c r="BL40" s="542">
        <v>1.3707333330346768E-2</v>
      </c>
      <c r="BM40" s="542">
        <v>-6.9283159975092037E-3</v>
      </c>
      <c r="BN40" s="540">
        <v>-6023.2483116370204</v>
      </c>
      <c r="BO40" s="541">
        <v>1024577.3112389342</v>
      </c>
      <c r="BP40" s="541">
        <v>5637.3497858504652</v>
      </c>
      <c r="BQ40" s="541" t="s">
        <v>771</v>
      </c>
      <c r="BR40" s="541">
        <v>5660.6481283919011</v>
      </c>
      <c r="BS40" s="542">
        <v>1.5143594230901281E-2</v>
      </c>
      <c r="BT40" s="540">
        <v>0</v>
      </c>
      <c r="BU40" s="540">
        <v>1024577.3112389342</v>
      </c>
      <c r="BV40" s="540">
        <v>0</v>
      </c>
      <c r="BW40" s="540">
        <v>1024577.3112389342</v>
      </c>
      <c r="BX40" s="540">
        <v>4217</v>
      </c>
      <c r="BY40" s="540">
        <v>1020360.3112389342</v>
      </c>
      <c r="CA40" s="10"/>
    </row>
    <row r="41" spans="1:79" ht="14.5" x14ac:dyDescent="0.35">
      <c r="A41" s="537">
        <v>138790</v>
      </c>
      <c r="B41" s="537">
        <v>8312009</v>
      </c>
      <c r="C41" s="538" t="s">
        <v>93</v>
      </c>
      <c r="D41" s="537">
        <v>138790</v>
      </c>
      <c r="E41" s="539">
        <v>213</v>
      </c>
      <c r="F41" s="539">
        <v>213</v>
      </c>
      <c r="G41" s="539">
        <v>0</v>
      </c>
      <c r="H41" s="540">
        <v>819411</v>
      </c>
      <c r="I41" s="540">
        <v>0</v>
      </c>
      <c r="J41" s="540">
        <v>0</v>
      </c>
      <c r="K41" s="540">
        <v>64350.000000000044</v>
      </c>
      <c r="L41" s="540">
        <v>0</v>
      </c>
      <c r="M41" s="540">
        <v>139920</v>
      </c>
      <c r="N41" s="540">
        <v>0</v>
      </c>
      <c r="O41" s="540">
        <v>1880.0000000000005</v>
      </c>
      <c r="P41" s="540">
        <v>5415</v>
      </c>
      <c r="Q41" s="540">
        <v>1780.0000000000005</v>
      </c>
      <c r="R41" s="540">
        <v>27930.000000000011</v>
      </c>
      <c r="S41" s="540">
        <v>34319.999999999949</v>
      </c>
      <c r="T41" s="540">
        <v>11645.000000000005</v>
      </c>
      <c r="U41" s="540">
        <v>0</v>
      </c>
      <c r="V41" s="540">
        <v>0</v>
      </c>
      <c r="W41" s="540">
        <v>0</v>
      </c>
      <c r="X41" s="540">
        <v>0</v>
      </c>
      <c r="Y41" s="540">
        <v>0</v>
      </c>
      <c r="Z41" s="540">
        <v>0</v>
      </c>
      <c r="AA41" s="540">
        <v>21896.62303664926</v>
      </c>
      <c r="AB41" s="540">
        <v>0</v>
      </c>
      <c r="AC41" s="540">
        <v>112417.74729690244</v>
      </c>
      <c r="AD41" s="540">
        <v>0</v>
      </c>
      <c r="AE41" s="540">
        <v>6002.3</v>
      </c>
      <c r="AF41" s="540">
        <v>0</v>
      </c>
      <c r="AG41" s="540">
        <v>145100</v>
      </c>
      <c r="AH41" s="540">
        <v>0</v>
      </c>
      <c r="AI41" s="540">
        <v>0</v>
      </c>
      <c r="AJ41" s="540">
        <v>0</v>
      </c>
      <c r="AK41" s="540">
        <v>4328</v>
      </c>
      <c r="AL41" s="540">
        <v>0</v>
      </c>
      <c r="AM41" s="540">
        <v>0</v>
      </c>
      <c r="AN41" s="540">
        <v>0</v>
      </c>
      <c r="AO41" s="540">
        <v>0</v>
      </c>
      <c r="AP41" s="540">
        <v>0</v>
      </c>
      <c r="AQ41" s="540">
        <v>0</v>
      </c>
      <c r="AR41" s="540">
        <v>0</v>
      </c>
      <c r="AS41" s="540">
        <v>0</v>
      </c>
      <c r="AT41" s="540">
        <v>819411</v>
      </c>
      <c r="AU41" s="540">
        <v>427556.67033355165</v>
      </c>
      <c r="AV41" s="540">
        <v>149428</v>
      </c>
      <c r="AW41" s="540">
        <v>250608.04102942906</v>
      </c>
      <c r="AX41" s="541">
        <v>1396395.6703335517</v>
      </c>
      <c r="AY41" s="541">
        <v>1392067.6703335517</v>
      </c>
      <c r="AZ41" s="541">
        <v>4955</v>
      </c>
      <c r="BA41" s="541">
        <v>1055415</v>
      </c>
      <c r="BB41" s="541">
        <v>0</v>
      </c>
      <c r="BC41" s="541">
        <v>0</v>
      </c>
      <c r="BD41" s="541">
        <v>1396395.6703335517</v>
      </c>
      <c r="BE41" s="540">
        <v>1396395.6703335517</v>
      </c>
      <c r="BF41" s="540">
        <v>0</v>
      </c>
      <c r="BG41" s="541">
        <v>1059743</v>
      </c>
      <c r="BH41" s="541">
        <v>910315</v>
      </c>
      <c r="BI41" s="540">
        <v>1246967.6703335517</v>
      </c>
      <c r="BJ41" s="540">
        <v>5854.3083114251258</v>
      </c>
      <c r="BK41" s="540">
        <v>5658.5741025641028</v>
      </c>
      <c r="BL41" s="542">
        <v>3.4590729981309049E-2</v>
      </c>
      <c r="BM41" s="542">
        <v>-2.4345068804411743E-2</v>
      </c>
      <c r="BN41" s="540">
        <v>-29342.534058560315</v>
      </c>
      <c r="BO41" s="541">
        <v>1367053.1362749913</v>
      </c>
      <c r="BP41" s="541">
        <v>6397.7705928403348</v>
      </c>
      <c r="BQ41" s="541" t="s">
        <v>771</v>
      </c>
      <c r="BR41" s="541">
        <v>6418.0898416666259</v>
      </c>
      <c r="BS41" s="542">
        <v>-9.6766377454526875E-4</v>
      </c>
      <c r="BT41" s="540">
        <v>0</v>
      </c>
      <c r="BU41" s="540">
        <v>1367053.1362749913</v>
      </c>
      <c r="BV41" s="540">
        <v>0</v>
      </c>
      <c r="BW41" s="540">
        <v>1367053.1362749913</v>
      </c>
      <c r="BX41" s="540">
        <v>4328</v>
      </c>
      <c r="BY41" s="540">
        <v>1362725.1362749913</v>
      </c>
      <c r="CA41" s="10"/>
    </row>
    <row r="42" spans="1:79" ht="14.5" x14ac:dyDescent="0.35">
      <c r="A42" s="537">
        <v>138992</v>
      </c>
      <c r="B42" s="537">
        <v>8312010</v>
      </c>
      <c r="C42" s="538" t="s">
        <v>94</v>
      </c>
      <c r="D42" s="537">
        <v>138992</v>
      </c>
      <c r="E42" s="539">
        <v>204</v>
      </c>
      <c r="F42" s="539">
        <v>204</v>
      </c>
      <c r="G42" s="539">
        <v>0</v>
      </c>
      <c r="H42" s="540">
        <v>784788</v>
      </c>
      <c r="I42" s="540">
        <v>0</v>
      </c>
      <c r="J42" s="540">
        <v>0</v>
      </c>
      <c r="K42" s="540">
        <v>58904.999999999971</v>
      </c>
      <c r="L42" s="540">
        <v>0</v>
      </c>
      <c r="M42" s="540">
        <v>126139.99999999994</v>
      </c>
      <c r="N42" s="540">
        <v>0</v>
      </c>
      <c r="O42" s="540">
        <v>0</v>
      </c>
      <c r="P42" s="540">
        <v>5130.0000000000027</v>
      </c>
      <c r="Q42" s="540">
        <v>1335.0000000000023</v>
      </c>
      <c r="R42" s="540">
        <v>35770.000000000007</v>
      </c>
      <c r="S42" s="540">
        <v>33279.999999999949</v>
      </c>
      <c r="T42" s="540">
        <v>2055.0000000000032</v>
      </c>
      <c r="U42" s="540">
        <v>0</v>
      </c>
      <c r="V42" s="540">
        <v>0</v>
      </c>
      <c r="W42" s="540">
        <v>0</v>
      </c>
      <c r="X42" s="540">
        <v>0</v>
      </c>
      <c r="Y42" s="540">
        <v>0</v>
      </c>
      <c r="Z42" s="540">
        <v>0</v>
      </c>
      <c r="AA42" s="540">
        <v>26744.745762711809</v>
      </c>
      <c r="AB42" s="540">
        <v>0</v>
      </c>
      <c r="AC42" s="540">
        <v>73949.703160467936</v>
      </c>
      <c r="AD42" s="540">
        <v>0</v>
      </c>
      <c r="AE42" s="540">
        <v>5558.4000000000096</v>
      </c>
      <c r="AF42" s="540">
        <v>0</v>
      </c>
      <c r="AG42" s="540">
        <v>145100</v>
      </c>
      <c r="AH42" s="540">
        <v>0</v>
      </c>
      <c r="AI42" s="540">
        <v>0</v>
      </c>
      <c r="AJ42" s="540">
        <v>0</v>
      </c>
      <c r="AK42" s="540">
        <v>4531</v>
      </c>
      <c r="AL42" s="540">
        <v>0</v>
      </c>
      <c r="AM42" s="540">
        <v>0</v>
      </c>
      <c r="AN42" s="540">
        <v>0</v>
      </c>
      <c r="AO42" s="540">
        <v>0</v>
      </c>
      <c r="AP42" s="540">
        <v>0</v>
      </c>
      <c r="AQ42" s="540">
        <v>0</v>
      </c>
      <c r="AR42" s="540">
        <v>0</v>
      </c>
      <c r="AS42" s="540">
        <v>0</v>
      </c>
      <c r="AT42" s="540">
        <v>784788</v>
      </c>
      <c r="AU42" s="540">
        <v>368867.84892317967</v>
      </c>
      <c r="AV42" s="540">
        <v>149631</v>
      </c>
      <c r="AW42" s="540">
        <v>226864.79744721699</v>
      </c>
      <c r="AX42" s="541">
        <v>1303286.8489231798</v>
      </c>
      <c r="AY42" s="541">
        <v>1298755.8489231798</v>
      </c>
      <c r="AZ42" s="541">
        <v>4955</v>
      </c>
      <c r="BA42" s="541">
        <v>1010820</v>
      </c>
      <c r="BB42" s="541">
        <v>0</v>
      </c>
      <c r="BC42" s="541">
        <v>0</v>
      </c>
      <c r="BD42" s="541">
        <v>1303286.8489231798</v>
      </c>
      <c r="BE42" s="540">
        <v>1303286.8489231798</v>
      </c>
      <c r="BF42" s="540">
        <v>0</v>
      </c>
      <c r="BG42" s="541">
        <v>1015351</v>
      </c>
      <c r="BH42" s="541">
        <v>865720</v>
      </c>
      <c r="BI42" s="540">
        <v>1153655.8489231798</v>
      </c>
      <c r="BJ42" s="540">
        <v>5655.1757300155869</v>
      </c>
      <c r="BK42" s="540">
        <v>5456.8000000000011</v>
      </c>
      <c r="BL42" s="542">
        <v>3.6353857575059691E-2</v>
      </c>
      <c r="BM42" s="542">
        <v>-2.5815517217599778E-2</v>
      </c>
      <c r="BN42" s="540">
        <v>-28737.503328011691</v>
      </c>
      <c r="BO42" s="541">
        <v>1274549.3455951682</v>
      </c>
      <c r="BP42" s="541">
        <v>6225.5801254665103</v>
      </c>
      <c r="BQ42" s="541" t="s">
        <v>771</v>
      </c>
      <c r="BR42" s="541">
        <v>6247.7909097802358</v>
      </c>
      <c r="BS42" s="542">
        <v>5.7725742434082683E-3</v>
      </c>
      <c r="BT42" s="540">
        <v>0</v>
      </c>
      <c r="BU42" s="540">
        <v>1274549.3455951682</v>
      </c>
      <c r="BV42" s="540">
        <v>0</v>
      </c>
      <c r="BW42" s="540">
        <v>1274549.3455951682</v>
      </c>
      <c r="BX42" s="540">
        <v>4531</v>
      </c>
      <c r="BY42" s="540">
        <v>1270018.3455951682</v>
      </c>
      <c r="CA42" s="10"/>
    </row>
    <row r="43" spans="1:79" ht="14.5" x14ac:dyDescent="0.35">
      <c r="A43" s="537">
        <v>140842</v>
      </c>
      <c r="B43" s="537">
        <v>8312011</v>
      </c>
      <c r="C43" s="538" t="s">
        <v>95</v>
      </c>
      <c r="D43" s="537">
        <v>140842</v>
      </c>
      <c r="E43" s="539">
        <v>222</v>
      </c>
      <c r="F43" s="539">
        <v>222</v>
      </c>
      <c r="G43" s="539">
        <v>0</v>
      </c>
      <c r="H43" s="540">
        <v>854034</v>
      </c>
      <c r="I43" s="540">
        <v>0</v>
      </c>
      <c r="J43" s="540">
        <v>0</v>
      </c>
      <c r="K43" s="540">
        <v>45045.000000000007</v>
      </c>
      <c r="L43" s="540">
        <v>0</v>
      </c>
      <c r="M43" s="540">
        <v>96460.000000000015</v>
      </c>
      <c r="N43" s="540">
        <v>0</v>
      </c>
      <c r="O43" s="540">
        <v>2585.0000000000027</v>
      </c>
      <c r="P43" s="540">
        <v>30495</v>
      </c>
      <c r="Q43" s="540">
        <v>15575.000000000031</v>
      </c>
      <c r="R43" s="540">
        <v>14210.000000000038</v>
      </c>
      <c r="S43" s="540">
        <v>7800.0000000000036</v>
      </c>
      <c r="T43" s="540">
        <v>684.99999999999932</v>
      </c>
      <c r="U43" s="540">
        <v>0</v>
      </c>
      <c r="V43" s="540">
        <v>0</v>
      </c>
      <c r="W43" s="540">
        <v>0</v>
      </c>
      <c r="X43" s="540">
        <v>0</v>
      </c>
      <c r="Y43" s="540">
        <v>0</v>
      </c>
      <c r="Z43" s="540">
        <v>0</v>
      </c>
      <c r="AA43" s="540">
        <v>16511.25</v>
      </c>
      <c r="AB43" s="540">
        <v>0</v>
      </c>
      <c r="AC43" s="540">
        <v>80489.554195804143</v>
      </c>
      <c r="AD43" s="540">
        <v>0</v>
      </c>
      <c r="AE43" s="540">
        <v>5481.2000000000035</v>
      </c>
      <c r="AF43" s="540">
        <v>0</v>
      </c>
      <c r="AG43" s="540">
        <v>145100</v>
      </c>
      <c r="AH43" s="540">
        <v>0</v>
      </c>
      <c r="AI43" s="540">
        <v>0</v>
      </c>
      <c r="AJ43" s="540">
        <v>0</v>
      </c>
      <c r="AK43" s="540">
        <v>7360</v>
      </c>
      <c r="AL43" s="540">
        <v>0</v>
      </c>
      <c r="AM43" s="540">
        <v>0</v>
      </c>
      <c r="AN43" s="540">
        <v>0</v>
      </c>
      <c r="AO43" s="540">
        <v>0</v>
      </c>
      <c r="AP43" s="540">
        <v>0</v>
      </c>
      <c r="AQ43" s="540">
        <v>0</v>
      </c>
      <c r="AR43" s="540">
        <v>0</v>
      </c>
      <c r="AS43" s="540">
        <v>0</v>
      </c>
      <c r="AT43" s="540">
        <v>854034</v>
      </c>
      <c r="AU43" s="540">
        <v>315337.00419580424</v>
      </c>
      <c r="AV43" s="540">
        <v>152460</v>
      </c>
      <c r="AW43" s="540">
        <v>215567.30435314684</v>
      </c>
      <c r="AX43" s="541">
        <v>1321831.0041958042</v>
      </c>
      <c r="AY43" s="541">
        <v>1314471.0041958042</v>
      </c>
      <c r="AZ43" s="541">
        <v>4955</v>
      </c>
      <c r="BA43" s="541">
        <v>1100010</v>
      </c>
      <c r="BB43" s="541">
        <v>0</v>
      </c>
      <c r="BC43" s="541">
        <v>0</v>
      </c>
      <c r="BD43" s="541">
        <v>1321831.0041958042</v>
      </c>
      <c r="BE43" s="540">
        <v>1321831.004195804</v>
      </c>
      <c r="BF43" s="540">
        <v>0</v>
      </c>
      <c r="BG43" s="541">
        <v>1107370</v>
      </c>
      <c r="BH43" s="541">
        <v>954910</v>
      </c>
      <c r="BI43" s="540">
        <v>1169371.0041958042</v>
      </c>
      <c r="BJ43" s="540">
        <v>5267.4369558369563</v>
      </c>
      <c r="BK43" s="540">
        <v>5058.4701785714287</v>
      </c>
      <c r="BL43" s="542">
        <v>4.1310271660935677E-2</v>
      </c>
      <c r="BM43" s="542">
        <v>-2.9949166565220352E-2</v>
      </c>
      <c r="BN43" s="540">
        <v>-33632.326439398319</v>
      </c>
      <c r="BO43" s="541">
        <v>1288198.6777564059</v>
      </c>
      <c r="BP43" s="541">
        <v>5769.5435934973239</v>
      </c>
      <c r="BQ43" s="541" t="s">
        <v>771</v>
      </c>
      <c r="BR43" s="541">
        <v>5802.6967466504766</v>
      </c>
      <c r="BS43" s="542">
        <v>1.1081844889630155E-2</v>
      </c>
      <c r="BT43" s="540">
        <v>0</v>
      </c>
      <c r="BU43" s="540">
        <v>1288198.6777564059</v>
      </c>
      <c r="BV43" s="540">
        <v>0</v>
      </c>
      <c r="BW43" s="540">
        <v>1288198.6777564059</v>
      </c>
      <c r="BX43" s="540">
        <v>7360</v>
      </c>
      <c r="BY43" s="540">
        <v>1280838.6777564059</v>
      </c>
      <c r="CA43" s="10"/>
    </row>
    <row r="44" spans="1:79" ht="14.5" x14ac:dyDescent="0.35">
      <c r="A44" s="537">
        <v>141324</v>
      </c>
      <c r="B44" s="537">
        <v>8312012</v>
      </c>
      <c r="C44" s="538" t="s">
        <v>96</v>
      </c>
      <c r="D44" s="537">
        <v>141324</v>
      </c>
      <c r="E44" s="539">
        <v>291</v>
      </c>
      <c r="F44" s="539">
        <v>291</v>
      </c>
      <c r="G44" s="539">
        <v>0</v>
      </c>
      <c r="H44" s="540">
        <v>1119477</v>
      </c>
      <c r="I44" s="540">
        <v>0</v>
      </c>
      <c r="J44" s="540">
        <v>0</v>
      </c>
      <c r="K44" s="540">
        <v>90584.999999999942</v>
      </c>
      <c r="L44" s="540">
        <v>0</v>
      </c>
      <c r="M44" s="540">
        <v>193979.99999999988</v>
      </c>
      <c r="N44" s="540">
        <v>0</v>
      </c>
      <c r="O44" s="540">
        <v>2350.0000000000018</v>
      </c>
      <c r="P44" s="540">
        <v>2565.0000000000005</v>
      </c>
      <c r="Q44" s="540">
        <v>445.00000000000028</v>
      </c>
      <c r="R44" s="540">
        <v>21559.999999999931</v>
      </c>
      <c r="S44" s="540">
        <v>86320</v>
      </c>
      <c r="T44" s="540">
        <v>31509.999999999913</v>
      </c>
      <c r="U44" s="540">
        <v>0</v>
      </c>
      <c r="V44" s="540">
        <v>0</v>
      </c>
      <c r="W44" s="540">
        <v>0</v>
      </c>
      <c r="X44" s="540">
        <v>0</v>
      </c>
      <c r="Y44" s="540">
        <v>0</v>
      </c>
      <c r="Z44" s="540">
        <v>0</v>
      </c>
      <c r="AA44" s="540">
        <v>33196.973684210585</v>
      </c>
      <c r="AB44" s="540">
        <v>0</v>
      </c>
      <c r="AC44" s="540">
        <v>149402.6175143912</v>
      </c>
      <c r="AD44" s="540">
        <v>0</v>
      </c>
      <c r="AE44" s="540">
        <v>17891.100000000122</v>
      </c>
      <c r="AF44" s="540">
        <v>0</v>
      </c>
      <c r="AG44" s="540">
        <v>145100</v>
      </c>
      <c r="AH44" s="540">
        <v>0</v>
      </c>
      <c r="AI44" s="540">
        <v>0</v>
      </c>
      <c r="AJ44" s="540">
        <v>0</v>
      </c>
      <c r="AK44" s="540">
        <v>8448</v>
      </c>
      <c r="AL44" s="540">
        <v>0</v>
      </c>
      <c r="AM44" s="540">
        <v>0</v>
      </c>
      <c r="AN44" s="540">
        <v>0</v>
      </c>
      <c r="AO44" s="540">
        <v>0</v>
      </c>
      <c r="AP44" s="540">
        <v>0</v>
      </c>
      <c r="AQ44" s="540">
        <v>0</v>
      </c>
      <c r="AR44" s="540">
        <v>0</v>
      </c>
      <c r="AS44" s="540">
        <v>0</v>
      </c>
      <c r="AT44" s="540">
        <v>1119477</v>
      </c>
      <c r="AU44" s="540">
        <v>629805.6911986015</v>
      </c>
      <c r="AV44" s="540">
        <v>153548</v>
      </c>
      <c r="AW44" s="540">
        <v>365039.6096089175</v>
      </c>
      <c r="AX44" s="541">
        <v>1902830.6911986014</v>
      </c>
      <c r="AY44" s="541">
        <v>1894382.6911986014</v>
      </c>
      <c r="AZ44" s="541">
        <v>4955</v>
      </c>
      <c r="BA44" s="541">
        <v>1441905</v>
      </c>
      <c r="BB44" s="541">
        <v>0</v>
      </c>
      <c r="BC44" s="541">
        <v>0</v>
      </c>
      <c r="BD44" s="541">
        <v>1902830.6911986014</v>
      </c>
      <c r="BE44" s="540">
        <v>1902830.6911986019</v>
      </c>
      <c r="BF44" s="540">
        <v>0</v>
      </c>
      <c r="BG44" s="541">
        <v>1450353</v>
      </c>
      <c r="BH44" s="541">
        <v>1296805</v>
      </c>
      <c r="BI44" s="540">
        <v>1749282.6911986014</v>
      </c>
      <c r="BJ44" s="540">
        <v>6011.2807257683899</v>
      </c>
      <c r="BK44" s="540">
        <v>5836.8635423197493</v>
      </c>
      <c r="BL44" s="542">
        <v>2.9882004638971192E-2</v>
      </c>
      <c r="BM44" s="542">
        <v>-2.0417991868901971E-2</v>
      </c>
      <c r="BN44" s="540">
        <v>-34680.516412969722</v>
      </c>
      <c r="BO44" s="541">
        <v>1868150.1747856317</v>
      </c>
      <c r="BP44" s="541">
        <v>6390.7291229746797</v>
      </c>
      <c r="BQ44" s="541" t="s">
        <v>771</v>
      </c>
      <c r="BR44" s="541">
        <v>6419.7600508097312</v>
      </c>
      <c r="BS44" s="542">
        <v>1.607336449529706E-2</v>
      </c>
      <c r="BT44" s="540">
        <v>0</v>
      </c>
      <c r="BU44" s="540">
        <v>1868150.1747856317</v>
      </c>
      <c r="BV44" s="540">
        <v>0</v>
      </c>
      <c r="BW44" s="540">
        <v>1868150.1747856317</v>
      </c>
      <c r="BX44" s="540">
        <v>8448</v>
      </c>
      <c r="BY44" s="540">
        <v>1859702.1747856317</v>
      </c>
      <c r="CA44" s="10"/>
    </row>
    <row r="45" spans="1:79" ht="14.5" x14ac:dyDescent="0.35">
      <c r="A45" s="537">
        <v>142041</v>
      </c>
      <c r="B45" s="537">
        <v>8312013</v>
      </c>
      <c r="C45" s="538" t="s">
        <v>97</v>
      </c>
      <c r="D45" s="537">
        <v>142041</v>
      </c>
      <c r="E45" s="539">
        <v>422</v>
      </c>
      <c r="F45" s="539">
        <v>422</v>
      </c>
      <c r="G45" s="539">
        <v>0</v>
      </c>
      <c r="H45" s="540">
        <v>1623434</v>
      </c>
      <c r="I45" s="540">
        <v>0</v>
      </c>
      <c r="J45" s="540">
        <v>0</v>
      </c>
      <c r="K45" s="540">
        <v>136619.99999999991</v>
      </c>
      <c r="L45" s="540">
        <v>0</v>
      </c>
      <c r="M45" s="540">
        <v>292559.99999999983</v>
      </c>
      <c r="N45" s="540">
        <v>0</v>
      </c>
      <c r="O45" s="540">
        <v>3760.0000000000032</v>
      </c>
      <c r="P45" s="540">
        <v>46740.000000000051</v>
      </c>
      <c r="Q45" s="540">
        <v>32040.000000000033</v>
      </c>
      <c r="R45" s="540">
        <v>43609.999999999935</v>
      </c>
      <c r="S45" s="540">
        <v>31200.000000000029</v>
      </c>
      <c r="T45" s="540">
        <v>4110.0000000000045</v>
      </c>
      <c r="U45" s="540">
        <v>0</v>
      </c>
      <c r="V45" s="540">
        <v>0</v>
      </c>
      <c r="W45" s="540">
        <v>0</v>
      </c>
      <c r="X45" s="540">
        <v>0</v>
      </c>
      <c r="Y45" s="540">
        <v>0</v>
      </c>
      <c r="Z45" s="540">
        <v>0</v>
      </c>
      <c r="AA45" s="540">
        <v>124157.76243093924</v>
      </c>
      <c r="AB45" s="540">
        <v>0</v>
      </c>
      <c r="AC45" s="540">
        <v>248502.57716948169</v>
      </c>
      <c r="AD45" s="540">
        <v>0</v>
      </c>
      <c r="AE45" s="540">
        <v>57786.033729216062</v>
      </c>
      <c r="AF45" s="540">
        <v>0</v>
      </c>
      <c r="AG45" s="540">
        <v>145100</v>
      </c>
      <c r="AH45" s="540">
        <v>0</v>
      </c>
      <c r="AI45" s="540">
        <v>0</v>
      </c>
      <c r="AJ45" s="540">
        <v>0</v>
      </c>
      <c r="AK45" s="540">
        <v>5375</v>
      </c>
      <c r="AL45" s="540">
        <v>0</v>
      </c>
      <c r="AM45" s="540">
        <v>0</v>
      </c>
      <c r="AN45" s="540">
        <v>0</v>
      </c>
      <c r="AO45" s="540">
        <v>0</v>
      </c>
      <c r="AP45" s="540">
        <v>0</v>
      </c>
      <c r="AQ45" s="540">
        <v>0</v>
      </c>
      <c r="AR45" s="540">
        <v>0</v>
      </c>
      <c r="AS45" s="540">
        <v>0</v>
      </c>
      <c r="AT45" s="540">
        <v>1623434</v>
      </c>
      <c r="AU45" s="540">
        <v>1021086.3733296368</v>
      </c>
      <c r="AV45" s="540">
        <v>150475</v>
      </c>
      <c r="AW45" s="540">
        <v>590665.97871996509</v>
      </c>
      <c r="AX45" s="541">
        <v>2794995.3733296366</v>
      </c>
      <c r="AY45" s="541">
        <v>2789620.3733296366</v>
      </c>
      <c r="AZ45" s="541">
        <v>4955</v>
      </c>
      <c r="BA45" s="541">
        <v>2091010</v>
      </c>
      <c r="BB45" s="541">
        <v>0</v>
      </c>
      <c r="BC45" s="541">
        <v>0</v>
      </c>
      <c r="BD45" s="541">
        <v>2794995.3733296366</v>
      </c>
      <c r="BE45" s="540">
        <v>2794995.3733296371</v>
      </c>
      <c r="BF45" s="540">
        <v>0</v>
      </c>
      <c r="BG45" s="541">
        <v>2096385</v>
      </c>
      <c r="BH45" s="541">
        <v>1945910</v>
      </c>
      <c r="BI45" s="540">
        <v>2644520.3733296366</v>
      </c>
      <c r="BJ45" s="540">
        <v>6266.6359557574324</v>
      </c>
      <c r="BK45" s="540">
        <v>6269.7089903846154</v>
      </c>
      <c r="BL45" s="542">
        <v>-4.9013991429201732E-4</v>
      </c>
      <c r="BM45" s="542">
        <v>4.9013991429201732E-4</v>
      </c>
      <c r="BN45" s="540">
        <v>1296.8206126712284</v>
      </c>
      <c r="BO45" s="541">
        <v>2796292.193942308</v>
      </c>
      <c r="BP45" s="541">
        <v>6613.5478529438578</v>
      </c>
      <c r="BQ45" s="541" t="s">
        <v>771</v>
      </c>
      <c r="BR45" s="541">
        <v>6626.2848197685025</v>
      </c>
      <c r="BS45" s="542">
        <v>-7.7568234324565388E-4</v>
      </c>
      <c r="BT45" s="540">
        <v>0</v>
      </c>
      <c r="BU45" s="540">
        <v>2796292.193942308</v>
      </c>
      <c r="BV45" s="540">
        <v>0</v>
      </c>
      <c r="BW45" s="540">
        <v>2796292.193942308</v>
      </c>
      <c r="BX45" s="540">
        <v>5375</v>
      </c>
      <c r="BY45" s="540">
        <v>2790917.193942308</v>
      </c>
      <c r="CA45" s="10"/>
    </row>
    <row r="46" spans="1:79" ht="14.5" x14ac:dyDescent="0.35">
      <c r="A46" s="537">
        <v>144343</v>
      </c>
      <c r="B46" s="537">
        <v>8312016</v>
      </c>
      <c r="C46" s="538" t="s">
        <v>99</v>
      </c>
      <c r="D46" s="537">
        <v>144343</v>
      </c>
      <c r="E46" s="539">
        <v>272</v>
      </c>
      <c r="F46" s="539">
        <v>272</v>
      </c>
      <c r="G46" s="539">
        <v>0</v>
      </c>
      <c r="H46" s="540">
        <v>1046384</v>
      </c>
      <c r="I46" s="540">
        <v>0</v>
      </c>
      <c r="J46" s="540">
        <v>0</v>
      </c>
      <c r="K46" s="540">
        <v>63360.000000000044</v>
      </c>
      <c r="L46" s="540">
        <v>0</v>
      </c>
      <c r="M46" s="540">
        <v>135680.00000000009</v>
      </c>
      <c r="N46" s="540">
        <v>0</v>
      </c>
      <c r="O46" s="540">
        <v>4465.0000000000009</v>
      </c>
      <c r="P46" s="540">
        <v>16814.999999999971</v>
      </c>
      <c r="Q46" s="540">
        <v>2225.0000000000036</v>
      </c>
      <c r="R46" s="540">
        <v>980.00000000000023</v>
      </c>
      <c r="S46" s="540">
        <v>6759.9999999999964</v>
      </c>
      <c r="T46" s="540">
        <v>100694.99999999996</v>
      </c>
      <c r="U46" s="540">
        <v>0</v>
      </c>
      <c r="V46" s="540">
        <v>0</v>
      </c>
      <c r="W46" s="540">
        <v>0</v>
      </c>
      <c r="X46" s="540">
        <v>0</v>
      </c>
      <c r="Y46" s="540">
        <v>0</v>
      </c>
      <c r="Z46" s="540">
        <v>0</v>
      </c>
      <c r="AA46" s="540">
        <v>40283.318777292501</v>
      </c>
      <c r="AB46" s="540">
        <v>0</v>
      </c>
      <c r="AC46" s="540">
        <v>113468.3964791427</v>
      </c>
      <c r="AD46" s="540">
        <v>0</v>
      </c>
      <c r="AE46" s="540">
        <v>31536.199999999892</v>
      </c>
      <c r="AF46" s="540">
        <v>0</v>
      </c>
      <c r="AG46" s="540">
        <v>145100</v>
      </c>
      <c r="AH46" s="540">
        <v>0</v>
      </c>
      <c r="AI46" s="540">
        <v>0</v>
      </c>
      <c r="AJ46" s="540">
        <v>0</v>
      </c>
      <c r="AK46" s="540">
        <v>6631</v>
      </c>
      <c r="AL46" s="540">
        <v>0</v>
      </c>
      <c r="AM46" s="540">
        <v>0</v>
      </c>
      <c r="AN46" s="540">
        <v>0</v>
      </c>
      <c r="AO46" s="540">
        <v>0</v>
      </c>
      <c r="AP46" s="540">
        <v>0</v>
      </c>
      <c r="AQ46" s="540">
        <v>0</v>
      </c>
      <c r="AR46" s="540">
        <v>0</v>
      </c>
      <c r="AS46" s="540">
        <v>0</v>
      </c>
      <c r="AT46" s="540">
        <v>1046384</v>
      </c>
      <c r="AU46" s="540">
        <v>516267.91525643517</v>
      </c>
      <c r="AV46" s="540">
        <v>151731</v>
      </c>
      <c r="AW46" s="540">
        <v>326499.75703482906</v>
      </c>
      <c r="AX46" s="541">
        <v>1714382.9152564351</v>
      </c>
      <c r="AY46" s="541">
        <v>1707751.9152564351</v>
      </c>
      <c r="AZ46" s="541">
        <v>4955</v>
      </c>
      <c r="BA46" s="541">
        <v>1347760</v>
      </c>
      <c r="BB46" s="541">
        <v>0</v>
      </c>
      <c r="BC46" s="541">
        <v>0</v>
      </c>
      <c r="BD46" s="541">
        <v>1714382.9152564351</v>
      </c>
      <c r="BE46" s="540">
        <v>1714382.9152564351</v>
      </c>
      <c r="BF46" s="540">
        <v>0</v>
      </c>
      <c r="BG46" s="541">
        <v>1354391</v>
      </c>
      <c r="BH46" s="541">
        <v>1202660</v>
      </c>
      <c r="BI46" s="540">
        <v>1562651.9152564351</v>
      </c>
      <c r="BJ46" s="540">
        <v>5745.043806089835</v>
      </c>
      <c r="BK46" s="540">
        <v>5725.0940000000001</v>
      </c>
      <c r="BL46" s="542">
        <v>3.4846250716293855E-3</v>
      </c>
      <c r="BM46" s="542">
        <v>0</v>
      </c>
      <c r="BN46" s="540">
        <v>0</v>
      </c>
      <c r="BO46" s="541">
        <v>1714382.9152564351</v>
      </c>
      <c r="BP46" s="541">
        <v>6278.4996884427756</v>
      </c>
      <c r="BQ46" s="541" t="s">
        <v>771</v>
      </c>
      <c r="BR46" s="541">
        <v>6302.8783649133638</v>
      </c>
      <c r="BS46" s="542">
        <v>-4.6020765267841268E-3</v>
      </c>
      <c r="BT46" s="540">
        <v>0</v>
      </c>
      <c r="BU46" s="540">
        <v>1714382.9152564351</v>
      </c>
      <c r="BV46" s="540">
        <v>0</v>
      </c>
      <c r="BW46" s="540">
        <v>1714382.9152564351</v>
      </c>
      <c r="BX46" s="540">
        <v>6631</v>
      </c>
      <c r="BY46" s="540">
        <v>1707751.9152564351</v>
      </c>
      <c r="CA46" s="10"/>
    </row>
    <row r="47" spans="1:79" ht="14.5" x14ac:dyDescent="0.35">
      <c r="A47" s="537">
        <v>144466</v>
      </c>
      <c r="B47" s="537">
        <v>8312017</v>
      </c>
      <c r="C47" s="538" t="s">
        <v>100</v>
      </c>
      <c r="D47" s="537">
        <v>144466</v>
      </c>
      <c r="E47" s="539">
        <v>358</v>
      </c>
      <c r="F47" s="539">
        <v>358</v>
      </c>
      <c r="G47" s="539">
        <v>0</v>
      </c>
      <c r="H47" s="540">
        <v>1377226</v>
      </c>
      <c r="I47" s="540">
        <v>0</v>
      </c>
      <c r="J47" s="540">
        <v>0</v>
      </c>
      <c r="K47" s="540">
        <v>131669.99999999994</v>
      </c>
      <c r="L47" s="540">
        <v>0</v>
      </c>
      <c r="M47" s="540">
        <v>287260.00000000012</v>
      </c>
      <c r="N47" s="540">
        <v>0</v>
      </c>
      <c r="O47" s="540">
        <v>9400</v>
      </c>
      <c r="P47" s="540">
        <v>10259.999999999989</v>
      </c>
      <c r="Q47" s="540">
        <v>55624.999999999942</v>
      </c>
      <c r="R47" s="540">
        <v>64189.999999999971</v>
      </c>
      <c r="S47" s="540">
        <v>4160</v>
      </c>
      <c r="T47" s="540">
        <v>6165.0000000000064</v>
      </c>
      <c r="U47" s="540">
        <v>0</v>
      </c>
      <c r="V47" s="540">
        <v>0</v>
      </c>
      <c r="W47" s="540">
        <v>0</v>
      </c>
      <c r="X47" s="540">
        <v>0</v>
      </c>
      <c r="Y47" s="540">
        <v>0</v>
      </c>
      <c r="Z47" s="540">
        <v>0</v>
      </c>
      <c r="AA47" s="540">
        <v>70210</v>
      </c>
      <c r="AB47" s="540">
        <v>0</v>
      </c>
      <c r="AC47" s="540">
        <v>148445.10968559436</v>
      </c>
      <c r="AD47" s="540">
        <v>0</v>
      </c>
      <c r="AE47" s="540">
        <v>0</v>
      </c>
      <c r="AF47" s="540">
        <v>0</v>
      </c>
      <c r="AG47" s="540">
        <v>145100</v>
      </c>
      <c r="AH47" s="540">
        <v>0</v>
      </c>
      <c r="AI47" s="540">
        <v>0</v>
      </c>
      <c r="AJ47" s="540">
        <v>0</v>
      </c>
      <c r="AK47" s="540">
        <v>4635</v>
      </c>
      <c r="AL47" s="540">
        <v>0</v>
      </c>
      <c r="AM47" s="540">
        <v>0</v>
      </c>
      <c r="AN47" s="540">
        <v>0</v>
      </c>
      <c r="AO47" s="540">
        <v>0</v>
      </c>
      <c r="AP47" s="540">
        <v>0</v>
      </c>
      <c r="AQ47" s="540">
        <v>0</v>
      </c>
      <c r="AR47" s="540">
        <v>0</v>
      </c>
      <c r="AS47" s="540">
        <v>0</v>
      </c>
      <c r="AT47" s="540">
        <v>1377226</v>
      </c>
      <c r="AU47" s="540">
        <v>787385.10968559433</v>
      </c>
      <c r="AV47" s="540">
        <v>149735</v>
      </c>
      <c r="AW47" s="540">
        <v>441737.09787360416</v>
      </c>
      <c r="AX47" s="541">
        <v>2314346.1096855942</v>
      </c>
      <c r="AY47" s="541">
        <v>2309711.1096855942</v>
      </c>
      <c r="AZ47" s="541">
        <v>4955</v>
      </c>
      <c r="BA47" s="541">
        <v>1773890</v>
      </c>
      <c r="BB47" s="541">
        <v>0</v>
      </c>
      <c r="BC47" s="541">
        <v>0</v>
      </c>
      <c r="BD47" s="541">
        <v>2314346.1096855942</v>
      </c>
      <c r="BE47" s="540">
        <v>2314346.1096855942</v>
      </c>
      <c r="BF47" s="540">
        <v>0</v>
      </c>
      <c r="BG47" s="541">
        <v>1778525</v>
      </c>
      <c r="BH47" s="541">
        <v>1628790</v>
      </c>
      <c r="BI47" s="540">
        <v>2164611.1096855942</v>
      </c>
      <c r="BJ47" s="540">
        <v>6046.3997477251232</v>
      </c>
      <c r="BK47" s="540">
        <v>6049.4530833333329</v>
      </c>
      <c r="BL47" s="542">
        <v>-5.0472919884638661E-4</v>
      </c>
      <c r="BM47" s="542">
        <v>5.0472919884638661E-4</v>
      </c>
      <c r="BN47" s="540">
        <v>1093.0941477390497</v>
      </c>
      <c r="BO47" s="541">
        <v>2315439.2038333332</v>
      </c>
      <c r="BP47" s="541">
        <v>6454.7603459031652</v>
      </c>
      <c r="BQ47" s="541" t="s">
        <v>771</v>
      </c>
      <c r="BR47" s="541">
        <v>6467.7072732774668</v>
      </c>
      <c r="BS47" s="542">
        <v>3.5956812914017533E-4</v>
      </c>
      <c r="BT47" s="540">
        <v>0</v>
      </c>
      <c r="BU47" s="540">
        <v>2315439.2038333332</v>
      </c>
      <c r="BV47" s="540">
        <v>0</v>
      </c>
      <c r="BW47" s="540">
        <v>2315439.2038333332</v>
      </c>
      <c r="BX47" s="540">
        <v>4635</v>
      </c>
      <c r="BY47" s="540">
        <v>2310804.2038333332</v>
      </c>
      <c r="CA47" s="10"/>
    </row>
    <row r="48" spans="1:79" ht="14.5" x14ac:dyDescent="0.35">
      <c r="A48" s="537">
        <v>144624</v>
      </c>
      <c r="B48" s="537">
        <v>8312018</v>
      </c>
      <c r="C48" s="538" t="s">
        <v>101</v>
      </c>
      <c r="D48" s="537">
        <v>144624</v>
      </c>
      <c r="E48" s="539">
        <v>357</v>
      </c>
      <c r="F48" s="539">
        <v>357</v>
      </c>
      <c r="G48" s="539">
        <v>0</v>
      </c>
      <c r="H48" s="540">
        <v>1373379</v>
      </c>
      <c r="I48" s="540">
        <v>0</v>
      </c>
      <c r="J48" s="540">
        <v>0</v>
      </c>
      <c r="K48" s="540">
        <v>91574.999999999942</v>
      </c>
      <c r="L48" s="540">
        <v>0</v>
      </c>
      <c r="M48" s="540">
        <v>197160.00000000017</v>
      </c>
      <c r="N48" s="540">
        <v>0</v>
      </c>
      <c r="O48" s="540">
        <v>31725.000000000025</v>
      </c>
      <c r="P48" s="540">
        <v>16530.000000000022</v>
      </c>
      <c r="Q48" s="540">
        <v>18689.999999999935</v>
      </c>
      <c r="R48" s="540">
        <v>3430</v>
      </c>
      <c r="S48" s="540">
        <v>8839.9999999999964</v>
      </c>
      <c r="T48" s="540">
        <v>16439.999999999996</v>
      </c>
      <c r="U48" s="540">
        <v>0</v>
      </c>
      <c r="V48" s="540">
        <v>0</v>
      </c>
      <c r="W48" s="540">
        <v>0</v>
      </c>
      <c r="X48" s="540">
        <v>0</v>
      </c>
      <c r="Y48" s="540">
        <v>0</v>
      </c>
      <c r="Z48" s="540">
        <v>0</v>
      </c>
      <c r="AA48" s="540">
        <v>10082.990506329126</v>
      </c>
      <c r="AB48" s="540">
        <v>0</v>
      </c>
      <c r="AC48" s="540">
        <v>165203.00600165562</v>
      </c>
      <c r="AD48" s="540">
        <v>0</v>
      </c>
      <c r="AE48" s="540">
        <v>14069.700000000079</v>
      </c>
      <c r="AF48" s="540">
        <v>0</v>
      </c>
      <c r="AG48" s="540">
        <v>145100</v>
      </c>
      <c r="AH48" s="540">
        <v>0</v>
      </c>
      <c r="AI48" s="540">
        <v>0</v>
      </c>
      <c r="AJ48" s="540">
        <v>0</v>
      </c>
      <c r="AK48" s="540">
        <v>6656</v>
      </c>
      <c r="AL48" s="540">
        <v>0</v>
      </c>
      <c r="AM48" s="540">
        <v>0</v>
      </c>
      <c r="AN48" s="540">
        <v>0</v>
      </c>
      <c r="AO48" s="540">
        <v>0</v>
      </c>
      <c r="AP48" s="540">
        <v>0</v>
      </c>
      <c r="AQ48" s="540">
        <v>0</v>
      </c>
      <c r="AR48" s="540">
        <v>0</v>
      </c>
      <c r="AS48" s="540">
        <v>0</v>
      </c>
      <c r="AT48" s="540">
        <v>1373379</v>
      </c>
      <c r="AU48" s="540">
        <v>573745.69650798489</v>
      </c>
      <c r="AV48" s="540">
        <v>151756</v>
      </c>
      <c r="AW48" s="540">
        <v>371688.86213331873</v>
      </c>
      <c r="AX48" s="541">
        <v>2098880.6965079848</v>
      </c>
      <c r="AY48" s="541">
        <v>2092224.6965079848</v>
      </c>
      <c r="AZ48" s="541">
        <v>4955</v>
      </c>
      <c r="BA48" s="541">
        <v>1768935</v>
      </c>
      <c r="BB48" s="541">
        <v>0</v>
      </c>
      <c r="BC48" s="541">
        <v>0</v>
      </c>
      <c r="BD48" s="541">
        <v>2098880.6965079848</v>
      </c>
      <c r="BE48" s="540">
        <v>2098880.6965079852</v>
      </c>
      <c r="BF48" s="540">
        <v>0</v>
      </c>
      <c r="BG48" s="541">
        <v>1775591</v>
      </c>
      <c r="BH48" s="541">
        <v>1623835</v>
      </c>
      <c r="BI48" s="540">
        <v>1947124.6965079848</v>
      </c>
      <c r="BJ48" s="540">
        <v>5454.1308025433746</v>
      </c>
      <c r="BK48" s="540">
        <v>5303.4268834688346</v>
      </c>
      <c r="BL48" s="542">
        <v>2.8416328231901336E-2</v>
      </c>
      <c r="BM48" s="542">
        <v>-1.9195617745405711E-2</v>
      </c>
      <c r="BN48" s="540">
        <v>-36343.512204892053</v>
      </c>
      <c r="BO48" s="541">
        <v>2062537.1843030928</v>
      </c>
      <c r="BP48" s="541">
        <v>5758.7708243784109</v>
      </c>
      <c r="BQ48" s="541" t="s">
        <v>771</v>
      </c>
      <c r="BR48" s="541">
        <v>5777.4150820814921</v>
      </c>
      <c r="BS48" s="542">
        <v>1.097615595264867E-2</v>
      </c>
      <c r="BT48" s="540">
        <v>0</v>
      </c>
      <c r="BU48" s="540">
        <v>2062537.1843030928</v>
      </c>
      <c r="BV48" s="540">
        <v>0</v>
      </c>
      <c r="BW48" s="540">
        <v>2062537.1843030928</v>
      </c>
      <c r="BX48" s="540">
        <v>6656</v>
      </c>
      <c r="BY48" s="540">
        <v>2055881.1843030928</v>
      </c>
      <c r="CA48" s="10"/>
    </row>
    <row r="49" spans="1:79" ht="14.5" x14ac:dyDescent="0.35">
      <c r="A49" s="537">
        <v>144822</v>
      </c>
      <c r="B49" s="537">
        <v>8312019</v>
      </c>
      <c r="C49" s="538" t="s">
        <v>102</v>
      </c>
      <c r="D49" s="537">
        <v>144822</v>
      </c>
      <c r="E49" s="539">
        <v>301</v>
      </c>
      <c r="F49" s="539">
        <v>301</v>
      </c>
      <c r="G49" s="539">
        <v>0</v>
      </c>
      <c r="H49" s="540">
        <v>1157947</v>
      </c>
      <c r="I49" s="540">
        <v>0</v>
      </c>
      <c r="J49" s="540">
        <v>0</v>
      </c>
      <c r="K49" s="540">
        <v>51480.000000000007</v>
      </c>
      <c r="L49" s="540">
        <v>0</v>
      </c>
      <c r="M49" s="540">
        <v>112359.99999999994</v>
      </c>
      <c r="N49" s="540">
        <v>0</v>
      </c>
      <c r="O49" s="540">
        <v>16214.999999999993</v>
      </c>
      <c r="P49" s="540">
        <v>9975.0000000000127</v>
      </c>
      <c r="Q49" s="540">
        <v>1780.0000000000005</v>
      </c>
      <c r="R49" s="540">
        <v>0</v>
      </c>
      <c r="S49" s="540">
        <v>4679.9999999999964</v>
      </c>
      <c r="T49" s="540">
        <v>4795.0000000000055</v>
      </c>
      <c r="U49" s="540">
        <v>0</v>
      </c>
      <c r="V49" s="540">
        <v>0</v>
      </c>
      <c r="W49" s="540">
        <v>0</v>
      </c>
      <c r="X49" s="540">
        <v>0</v>
      </c>
      <c r="Y49" s="540">
        <v>0</v>
      </c>
      <c r="Z49" s="540">
        <v>0</v>
      </c>
      <c r="AA49" s="540">
        <v>6545.0000000000055</v>
      </c>
      <c r="AB49" s="540">
        <v>0</v>
      </c>
      <c r="AC49" s="540">
        <v>103268.4208098885</v>
      </c>
      <c r="AD49" s="540">
        <v>0</v>
      </c>
      <c r="AE49" s="540">
        <v>0</v>
      </c>
      <c r="AF49" s="540">
        <v>0</v>
      </c>
      <c r="AG49" s="540">
        <v>145100</v>
      </c>
      <c r="AH49" s="540">
        <v>0</v>
      </c>
      <c r="AI49" s="540">
        <v>0</v>
      </c>
      <c r="AJ49" s="540">
        <v>0</v>
      </c>
      <c r="AK49" s="540">
        <v>5530</v>
      </c>
      <c r="AL49" s="540">
        <v>0</v>
      </c>
      <c r="AM49" s="540">
        <v>0</v>
      </c>
      <c r="AN49" s="540">
        <v>0</v>
      </c>
      <c r="AO49" s="540">
        <v>0</v>
      </c>
      <c r="AP49" s="540">
        <v>0</v>
      </c>
      <c r="AQ49" s="540">
        <v>0</v>
      </c>
      <c r="AR49" s="540">
        <v>0</v>
      </c>
      <c r="AS49" s="540">
        <v>0</v>
      </c>
      <c r="AT49" s="540">
        <v>1157947</v>
      </c>
      <c r="AU49" s="540">
        <v>311098.42080988846</v>
      </c>
      <c r="AV49" s="540">
        <v>150630</v>
      </c>
      <c r="AW49" s="540">
        <v>245831.94071118903</v>
      </c>
      <c r="AX49" s="541">
        <v>1619675.4208098885</v>
      </c>
      <c r="AY49" s="541">
        <v>1614145.4208098885</v>
      </c>
      <c r="AZ49" s="541">
        <v>4955</v>
      </c>
      <c r="BA49" s="541">
        <v>1491455</v>
      </c>
      <c r="BB49" s="541">
        <v>0</v>
      </c>
      <c r="BC49" s="541">
        <v>0</v>
      </c>
      <c r="BD49" s="541">
        <v>1619675.4208098885</v>
      </c>
      <c r="BE49" s="540">
        <v>1619675.4208098885</v>
      </c>
      <c r="BF49" s="540">
        <v>0</v>
      </c>
      <c r="BG49" s="541">
        <v>1496985</v>
      </c>
      <c r="BH49" s="541">
        <v>1346355</v>
      </c>
      <c r="BI49" s="540">
        <v>1469045.4208098885</v>
      </c>
      <c r="BJ49" s="540">
        <v>4880.5495707969721</v>
      </c>
      <c r="BK49" s="540">
        <v>4936.5624062500001</v>
      </c>
      <c r="BL49" s="542">
        <v>-1.1346526356501066E-2</v>
      </c>
      <c r="BM49" s="542">
        <v>1.1346526356501066E-2</v>
      </c>
      <c r="BN49" s="540">
        <v>16859.863471361412</v>
      </c>
      <c r="BO49" s="541">
        <v>1636535.2842812499</v>
      </c>
      <c r="BP49" s="541">
        <v>5418.6222069144515</v>
      </c>
      <c r="BQ49" s="541" t="s">
        <v>771</v>
      </c>
      <c r="BR49" s="541">
        <v>5436.9942999377072</v>
      </c>
      <c r="BS49" s="542">
        <v>5.4952571723467791E-3</v>
      </c>
      <c r="BT49" s="540">
        <v>0</v>
      </c>
      <c r="BU49" s="540">
        <v>1636535.2842812499</v>
      </c>
      <c r="BV49" s="540">
        <v>0</v>
      </c>
      <c r="BW49" s="540">
        <v>1636535.2842812499</v>
      </c>
      <c r="BX49" s="540">
        <v>5530</v>
      </c>
      <c r="BY49" s="540">
        <v>1631005.2842812499</v>
      </c>
      <c r="CA49" s="10"/>
    </row>
    <row r="50" spans="1:79" ht="14.5" x14ac:dyDescent="0.35">
      <c r="A50" s="537">
        <v>145855</v>
      </c>
      <c r="B50" s="537">
        <v>8312020</v>
      </c>
      <c r="C50" s="538" t="s">
        <v>103</v>
      </c>
      <c r="D50" s="537">
        <v>145855</v>
      </c>
      <c r="E50" s="539">
        <v>412</v>
      </c>
      <c r="F50" s="539">
        <v>412</v>
      </c>
      <c r="G50" s="539">
        <v>0</v>
      </c>
      <c r="H50" s="540">
        <v>1584964</v>
      </c>
      <c r="I50" s="540">
        <v>0</v>
      </c>
      <c r="J50" s="540">
        <v>0</v>
      </c>
      <c r="K50" s="540">
        <v>75735.000000000029</v>
      </c>
      <c r="L50" s="540">
        <v>0</v>
      </c>
      <c r="M50" s="540">
        <v>172779.99999999997</v>
      </c>
      <c r="N50" s="540">
        <v>0</v>
      </c>
      <c r="O50" s="540">
        <v>59891.100244498819</v>
      </c>
      <c r="P50" s="540">
        <v>7464.3520782396035</v>
      </c>
      <c r="Q50" s="540">
        <v>1793.0562347188268</v>
      </c>
      <c r="R50" s="540">
        <v>31590.024449877757</v>
      </c>
      <c r="S50" s="540">
        <v>2095.2567237163817</v>
      </c>
      <c r="T50" s="540">
        <v>8970.317848410752</v>
      </c>
      <c r="U50" s="540">
        <v>0</v>
      </c>
      <c r="V50" s="540">
        <v>0</v>
      </c>
      <c r="W50" s="540">
        <v>0</v>
      </c>
      <c r="X50" s="540">
        <v>0</v>
      </c>
      <c r="Y50" s="540">
        <v>0</v>
      </c>
      <c r="Z50" s="540">
        <v>0</v>
      </c>
      <c r="AA50" s="540">
        <v>31410.696378830071</v>
      </c>
      <c r="AB50" s="540">
        <v>0</v>
      </c>
      <c r="AC50" s="540">
        <v>181230.76997245182</v>
      </c>
      <c r="AD50" s="540">
        <v>0</v>
      </c>
      <c r="AE50" s="540">
        <v>23430.199999999819</v>
      </c>
      <c r="AF50" s="540">
        <v>0</v>
      </c>
      <c r="AG50" s="540">
        <v>145100</v>
      </c>
      <c r="AH50" s="540">
        <v>0</v>
      </c>
      <c r="AI50" s="540">
        <v>0</v>
      </c>
      <c r="AJ50" s="540">
        <v>0</v>
      </c>
      <c r="AK50" s="540">
        <v>5675</v>
      </c>
      <c r="AL50" s="540">
        <v>0</v>
      </c>
      <c r="AM50" s="540">
        <v>0</v>
      </c>
      <c r="AN50" s="540">
        <v>0</v>
      </c>
      <c r="AO50" s="540">
        <v>0</v>
      </c>
      <c r="AP50" s="540">
        <v>0</v>
      </c>
      <c r="AQ50" s="540">
        <v>0</v>
      </c>
      <c r="AR50" s="540">
        <v>0</v>
      </c>
      <c r="AS50" s="540">
        <v>0</v>
      </c>
      <c r="AT50" s="540">
        <v>1584964</v>
      </c>
      <c r="AU50" s="540">
        <v>596390.7739307438</v>
      </c>
      <c r="AV50" s="540">
        <v>150775</v>
      </c>
      <c r="AW50" s="540">
        <v>411665.2726375974</v>
      </c>
      <c r="AX50" s="541">
        <v>2332129.7739307438</v>
      </c>
      <c r="AY50" s="541">
        <v>2326454.7739307438</v>
      </c>
      <c r="AZ50" s="541">
        <v>4955</v>
      </c>
      <c r="BA50" s="541">
        <v>2041460</v>
      </c>
      <c r="BB50" s="541">
        <v>0</v>
      </c>
      <c r="BC50" s="541">
        <v>0</v>
      </c>
      <c r="BD50" s="541">
        <v>2332129.7739307438</v>
      </c>
      <c r="BE50" s="540">
        <v>2332129.7739307438</v>
      </c>
      <c r="BF50" s="540">
        <v>0</v>
      </c>
      <c r="BG50" s="541">
        <v>2047135</v>
      </c>
      <c r="BH50" s="541">
        <v>1896360</v>
      </c>
      <c r="BI50" s="540">
        <v>2181354.7739307438</v>
      </c>
      <c r="BJ50" s="540">
        <v>5294.5504221619994</v>
      </c>
      <c r="BK50" s="540">
        <v>5271.4702387267898</v>
      </c>
      <c r="BL50" s="542">
        <v>4.3783199733636625E-3</v>
      </c>
      <c r="BM50" s="542">
        <v>0</v>
      </c>
      <c r="BN50" s="540">
        <v>0</v>
      </c>
      <c r="BO50" s="541">
        <v>2332129.7739307438</v>
      </c>
      <c r="BP50" s="541">
        <v>5646.7348881814169</v>
      </c>
      <c r="BQ50" s="541" t="s">
        <v>771</v>
      </c>
      <c r="BR50" s="541">
        <v>5660.5091600260776</v>
      </c>
      <c r="BS50" s="542">
        <v>-1.9211865026041997E-3</v>
      </c>
      <c r="BT50" s="540">
        <v>0</v>
      </c>
      <c r="BU50" s="540">
        <v>2332129.7739307438</v>
      </c>
      <c r="BV50" s="540">
        <v>0</v>
      </c>
      <c r="BW50" s="540">
        <v>2332129.7739307438</v>
      </c>
      <c r="BX50" s="540">
        <v>5675</v>
      </c>
      <c r="BY50" s="540">
        <v>2326454.7739307438</v>
      </c>
      <c r="CA50" s="10"/>
    </row>
    <row r="51" spans="1:79" ht="14.5" x14ac:dyDescent="0.35">
      <c r="A51" s="537">
        <v>146079</v>
      </c>
      <c r="B51" s="537">
        <v>8312021</v>
      </c>
      <c r="C51" s="538" t="s">
        <v>104</v>
      </c>
      <c r="D51" s="537">
        <v>146079</v>
      </c>
      <c r="E51" s="539">
        <v>594</v>
      </c>
      <c r="F51" s="539">
        <v>594</v>
      </c>
      <c r="G51" s="539">
        <v>0</v>
      </c>
      <c r="H51" s="540">
        <v>2285118</v>
      </c>
      <c r="I51" s="540">
        <v>0</v>
      </c>
      <c r="J51" s="540">
        <v>0</v>
      </c>
      <c r="K51" s="540">
        <v>193544.99999999991</v>
      </c>
      <c r="L51" s="540">
        <v>0</v>
      </c>
      <c r="M51" s="540">
        <v>415520.00000000006</v>
      </c>
      <c r="N51" s="540">
        <v>0</v>
      </c>
      <c r="O51" s="540">
        <v>3530.9443507588599</v>
      </c>
      <c r="P51" s="540">
        <v>8849.8988195615439</v>
      </c>
      <c r="Q51" s="540">
        <v>12481.011804384481</v>
      </c>
      <c r="R51" s="540">
        <v>13743.1365935919</v>
      </c>
      <c r="S51" s="540">
        <v>71360.13490725134</v>
      </c>
      <c r="T51" s="540">
        <v>229861.97301854991</v>
      </c>
      <c r="U51" s="540">
        <v>0</v>
      </c>
      <c r="V51" s="540">
        <v>0</v>
      </c>
      <c r="W51" s="540">
        <v>0</v>
      </c>
      <c r="X51" s="540">
        <v>0</v>
      </c>
      <c r="Y51" s="540">
        <v>0</v>
      </c>
      <c r="Z51" s="540">
        <v>0</v>
      </c>
      <c r="AA51" s="540">
        <v>79369.11708253347</v>
      </c>
      <c r="AB51" s="540">
        <v>0</v>
      </c>
      <c r="AC51" s="540">
        <v>259384.70826062383</v>
      </c>
      <c r="AD51" s="540">
        <v>0</v>
      </c>
      <c r="AE51" s="540">
        <v>62107.399999999805</v>
      </c>
      <c r="AF51" s="540">
        <v>0</v>
      </c>
      <c r="AG51" s="540">
        <v>145100</v>
      </c>
      <c r="AH51" s="540">
        <v>0</v>
      </c>
      <c r="AI51" s="540">
        <v>0</v>
      </c>
      <c r="AJ51" s="540">
        <v>0</v>
      </c>
      <c r="AK51" s="540">
        <v>5738</v>
      </c>
      <c r="AL51" s="540">
        <v>0</v>
      </c>
      <c r="AM51" s="540">
        <v>0</v>
      </c>
      <c r="AN51" s="540">
        <v>0</v>
      </c>
      <c r="AO51" s="540">
        <v>0</v>
      </c>
      <c r="AP51" s="540">
        <v>0</v>
      </c>
      <c r="AQ51" s="540">
        <v>0</v>
      </c>
      <c r="AR51" s="540">
        <v>0</v>
      </c>
      <c r="AS51" s="540">
        <v>0</v>
      </c>
      <c r="AT51" s="540">
        <v>2285118</v>
      </c>
      <c r="AU51" s="540">
        <v>1349753.3248372553</v>
      </c>
      <c r="AV51" s="540">
        <v>150838</v>
      </c>
      <c r="AW51" s="540">
        <v>786244.92487727525</v>
      </c>
      <c r="AX51" s="541">
        <v>3785709.3248372553</v>
      </c>
      <c r="AY51" s="541">
        <v>3779971.3248372553</v>
      </c>
      <c r="AZ51" s="541">
        <v>4955</v>
      </c>
      <c r="BA51" s="541">
        <v>2943270</v>
      </c>
      <c r="BB51" s="541">
        <v>0</v>
      </c>
      <c r="BC51" s="541">
        <v>0</v>
      </c>
      <c r="BD51" s="541">
        <v>3785709.3248372553</v>
      </c>
      <c r="BE51" s="540">
        <v>3785709.3248372553</v>
      </c>
      <c r="BF51" s="540">
        <v>0</v>
      </c>
      <c r="BG51" s="541">
        <v>2949008</v>
      </c>
      <c r="BH51" s="541">
        <v>2798170</v>
      </c>
      <c r="BI51" s="540">
        <v>3634871.3248372553</v>
      </c>
      <c r="BJ51" s="540">
        <v>6119.3119946755141</v>
      </c>
      <c r="BK51" s="540">
        <v>6016.4520106761565</v>
      </c>
      <c r="BL51" s="542">
        <v>1.7096452164304346E-2</v>
      </c>
      <c r="BM51" s="542">
        <v>-9.7548411050298236E-3</v>
      </c>
      <c r="BN51" s="540">
        <v>-34861.582827828759</v>
      </c>
      <c r="BO51" s="541">
        <v>3750847.7420094265</v>
      </c>
      <c r="BP51" s="541">
        <v>6304.8985555714253</v>
      </c>
      <c r="BQ51" s="541" t="s">
        <v>771</v>
      </c>
      <c r="BR51" s="541">
        <v>6314.5584882313578</v>
      </c>
      <c r="BS51" s="542">
        <v>4.7274754066435332E-3</v>
      </c>
      <c r="BT51" s="540">
        <v>0</v>
      </c>
      <c r="BU51" s="540">
        <v>3750847.7420094265</v>
      </c>
      <c r="BV51" s="540">
        <v>0</v>
      </c>
      <c r="BW51" s="540">
        <v>3750847.7420094265</v>
      </c>
      <c r="BX51" s="540">
        <v>5738</v>
      </c>
      <c r="BY51" s="540">
        <v>3745109.7420094265</v>
      </c>
      <c r="CA51" s="10"/>
    </row>
    <row r="52" spans="1:79" ht="14.5" x14ac:dyDescent="0.35">
      <c r="A52" s="537">
        <v>146080</v>
      </c>
      <c r="B52" s="537">
        <v>8312022</v>
      </c>
      <c r="C52" s="538" t="s">
        <v>105</v>
      </c>
      <c r="D52" s="537">
        <v>146080</v>
      </c>
      <c r="E52" s="539">
        <v>554</v>
      </c>
      <c r="F52" s="539">
        <v>554</v>
      </c>
      <c r="G52" s="539">
        <v>0</v>
      </c>
      <c r="H52" s="540">
        <v>2131238</v>
      </c>
      <c r="I52" s="540">
        <v>0</v>
      </c>
      <c r="J52" s="540">
        <v>0</v>
      </c>
      <c r="K52" s="540">
        <v>114839.99999999991</v>
      </c>
      <c r="L52" s="540">
        <v>0</v>
      </c>
      <c r="M52" s="540">
        <v>254400.00000000017</v>
      </c>
      <c r="N52" s="540">
        <v>0</v>
      </c>
      <c r="O52" s="540">
        <v>25943.65942028991</v>
      </c>
      <c r="P52" s="540">
        <v>37470.271739130418</v>
      </c>
      <c r="Q52" s="540">
        <v>4912.7355072463879</v>
      </c>
      <c r="R52" s="540">
        <v>43768.007246376808</v>
      </c>
      <c r="S52" s="540">
        <v>33922.463768116002</v>
      </c>
      <c r="T52" s="540">
        <v>17874.528985507237</v>
      </c>
      <c r="U52" s="540">
        <v>0</v>
      </c>
      <c r="V52" s="540">
        <v>0</v>
      </c>
      <c r="W52" s="540">
        <v>0</v>
      </c>
      <c r="X52" s="540">
        <v>0</v>
      </c>
      <c r="Y52" s="540">
        <v>0</v>
      </c>
      <c r="Z52" s="540">
        <v>0</v>
      </c>
      <c r="AA52" s="540">
        <v>87631.697341513209</v>
      </c>
      <c r="AB52" s="540">
        <v>0</v>
      </c>
      <c r="AC52" s="540">
        <v>300652.23709826154</v>
      </c>
      <c r="AD52" s="540">
        <v>0</v>
      </c>
      <c r="AE52" s="540">
        <v>32578.400000000129</v>
      </c>
      <c r="AF52" s="540">
        <v>0</v>
      </c>
      <c r="AG52" s="540">
        <v>145100</v>
      </c>
      <c r="AH52" s="540">
        <v>0</v>
      </c>
      <c r="AI52" s="540">
        <v>0</v>
      </c>
      <c r="AJ52" s="540">
        <v>0</v>
      </c>
      <c r="AK52" s="540">
        <v>12493</v>
      </c>
      <c r="AL52" s="540">
        <v>208394</v>
      </c>
      <c r="AM52" s="540">
        <v>0</v>
      </c>
      <c r="AN52" s="540">
        <v>0</v>
      </c>
      <c r="AO52" s="540">
        <v>0</v>
      </c>
      <c r="AP52" s="540">
        <v>0</v>
      </c>
      <c r="AQ52" s="540">
        <v>0</v>
      </c>
      <c r="AR52" s="540">
        <v>0</v>
      </c>
      <c r="AS52" s="540">
        <v>0</v>
      </c>
      <c r="AT52" s="540">
        <v>2131238</v>
      </c>
      <c r="AU52" s="540">
        <v>953994.00110644195</v>
      </c>
      <c r="AV52" s="540">
        <v>365987</v>
      </c>
      <c r="AW52" s="540">
        <v>608312.71374946553</v>
      </c>
      <c r="AX52" s="541">
        <v>3451219.001106442</v>
      </c>
      <c r="AY52" s="541">
        <v>3230332.001106442</v>
      </c>
      <c r="AZ52" s="541">
        <v>4955</v>
      </c>
      <c r="BA52" s="541">
        <v>2745070</v>
      </c>
      <c r="BB52" s="541">
        <v>0</v>
      </c>
      <c r="BC52" s="541">
        <v>0</v>
      </c>
      <c r="BD52" s="541">
        <v>3451219.001106442</v>
      </c>
      <c r="BE52" s="540">
        <v>3451219.0011064424</v>
      </c>
      <c r="BF52" s="540">
        <v>0</v>
      </c>
      <c r="BG52" s="541">
        <v>2965957</v>
      </c>
      <c r="BH52" s="541">
        <v>2599970</v>
      </c>
      <c r="BI52" s="540">
        <v>3085232.001106442</v>
      </c>
      <c r="BJ52" s="540">
        <v>5569.0108323220975</v>
      </c>
      <c r="BK52" s="540">
        <v>5446.6113508771932</v>
      </c>
      <c r="BL52" s="542">
        <v>2.247259324372235E-2</v>
      </c>
      <c r="BM52" s="542">
        <v>-1.423854276526444E-2</v>
      </c>
      <c r="BN52" s="540">
        <v>-42963.701989462767</v>
      </c>
      <c r="BO52" s="541">
        <v>3408255.2991169794</v>
      </c>
      <c r="BP52" s="541">
        <v>5753.37238107758</v>
      </c>
      <c r="BQ52" s="541" t="s">
        <v>771</v>
      </c>
      <c r="BR52" s="541">
        <v>6152.0853774674715</v>
      </c>
      <c r="BS52" s="542">
        <v>1.2478934925094221E-2</v>
      </c>
      <c r="BT52" s="540">
        <v>0</v>
      </c>
      <c r="BU52" s="540">
        <v>3408255.2991169794</v>
      </c>
      <c r="BV52" s="540">
        <v>0</v>
      </c>
      <c r="BW52" s="540">
        <v>3408255.2991169794</v>
      </c>
      <c r="BX52" s="540">
        <v>12493</v>
      </c>
      <c r="BY52" s="540">
        <v>3395762.2991169794</v>
      </c>
      <c r="CA52" s="10"/>
    </row>
    <row r="53" spans="1:79" ht="14.5" x14ac:dyDescent="0.35">
      <c r="A53" s="537">
        <v>145982</v>
      </c>
      <c r="B53" s="537">
        <v>8312023</v>
      </c>
      <c r="C53" s="538" t="s">
        <v>106</v>
      </c>
      <c r="D53" s="537">
        <v>145982</v>
      </c>
      <c r="E53" s="539">
        <v>111</v>
      </c>
      <c r="F53" s="539">
        <v>111</v>
      </c>
      <c r="G53" s="539">
        <v>0</v>
      </c>
      <c r="H53" s="540">
        <v>427017</v>
      </c>
      <c r="I53" s="540">
        <v>0</v>
      </c>
      <c r="J53" s="540">
        <v>0</v>
      </c>
      <c r="K53" s="540">
        <v>32175.000000000029</v>
      </c>
      <c r="L53" s="540">
        <v>0</v>
      </c>
      <c r="M53" s="540">
        <v>71020.000000000044</v>
      </c>
      <c r="N53" s="540">
        <v>0</v>
      </c>
      <c r="O53" s="540">
        <v>235.00000000000006</v>
      </c>
      <c r="P53" s="540">
        <v>1139.9999999999989</v>
      </c>
      <c r="Q53" s="540">
        <v>2670.0000000000023</v>
      </c>
      <c r="R53" s="540">
        <v>1959.999999999998</v>
      </c>
      <c r="S53" s="540">
        <v>38480.000000000015</v>
      </c>
      <c r="T53" s="540">
        <v>2054.9999999999977</v>
      </c>
      <c r="U53" s="540">
        <v>0</v>
      </c>
      <c r="V53" s="540">
        <v>0</v>
      </c>
      <c r="W53" s="540">
        <v>0</v>
      </c>
      <c r="X53" s="540">
        <v>0</v>
      </c>
      <c r="Y53" s="540">
        <v>0</v>
      </c>
      <c r="Z53" s="540">
        <v>0</v>
      </c>
      <c r="AA53" s="540">
        <v>23830.670103092769</v>
      </c>
      <c r="AB53" s="540">
        <v>0</v>
      </c>
      <c r="AC53" s="540">
        <v>51406.755593803755</v>
      </c>
      <c r="AD53" s="540">
        <v>0</v>
      </c>
      <c r="AE53" s="540">
        <v>8048.0999999999858</v>
      </c>
      <c r="AF53" s="540">
        <v>0</v>
      </c>
      <c r="AG53" s="540">
        <v>145100</v>
      </c>
      <c r="AH53" s="540">
        <v>0</v>
      </c>
      <c r="AI53" s="540">
        <v>0</v>
      </c>
      <c r="AJ53" s="540">
        <v>0</v>
      </c>
      <c r="AK53" s="540">
        <v>5120</v>
      </c>
      <c r="AL53" s="540">
        <v>34017</v>
      </c>
      <c r="AM53" s="540">
        <v>0</v>
      </c>
      <c r="AN53" s="540">
        <v>0</v>
      </c>
      <c r="AO53" s="540">
        <v>0</v>
      </c>
      <c r="AP53" s="540">
        <v>0</v>
      </c>
      <c r="AQ53" s="540">
        <v>0</v>
      </c>
      <c r="AR53" s="540">
        <v>0</v>
      </c>
      <c r="AS53" s="540">
        <v>0</v>
      </c>
      <c r="AT53" s="540">
        <v>427017</v>
      </c>
      <c r="AU53" s="540">
        <v>233020.5256968966</v>
      </c>
      <c r="AV53" s="540">
        <v>184237</v>
      </c>
      <c r="AW53" s="540">
        <v>138194.58955529035</v>
      </c>
      <c r="AX53" s="541">
        <v>844274.5256968966</v>
      </c>
      <c r="AY53" s="541">
        <v>805137.5256968966</v>
      </c>
      <c r="AZ53" s="541">
        <v>4955</v>
      </c>
      <c r="BA53" s="541">
        <v>550005</v>
      </c>
      <c r="BB53" s="541">
        <v>0</v>
      </c>
      <c r="BC53" s="541">
        <v>0</v>
      </c>
      <c r="BD53" s="541">
        <v>844274.5256968966</v>
      </c>
      <c r="BE53" s="540">
        <v>844274.52569689648</v>
      </c>
      <c r="BF53" s="540">
        <v>0</v>
      </c>
      <c r="BG53" s="541">
        <v>589142</v>
      </c>
      <c r="BH53" s="541">
        <v>404905</v>
      </c>
      <c r="BI53" s="540">
        <v>660037.5256968966</v>
      </c>
      <c r="BJ53" s="540">
        <v>5946.2840152873569</v>
      </c>
      <c r="BK53" s="540">
        <v>6024.9300917431192</v>
      </c>
      <c r="BL53" s="542">
        <v>-1.3053442157535247E-2</v>
      </c>
      <c r="BM53" s="542">
        <v>1.3053442157535247E-2</v>
      </c>
      <c r="BN53" s="540">
        <v>8729.7144865896189</v>
      </c>
      <c r="BO53" s="541">
        <v>853004.24018348625</v>
      </c>
      <c r="BP53" s="541">
        <v>7332.137298950327</v>
      </c>
      <c r="BQ53" s="541" t="s">
        <v>771</v>
      </c>
      <c r="BR53" s="541">
        <v>7684.7228845359123</v>
      </c>
      <c r="BS53" s="542">
        <v>-2.4207032856100597E-3</v>
      </c>
      <c r="BT53" s="540">
        <v>0</v>
      </c>
      <c r="BU53" s="540">
        <v>853004.24018348625</v>
      </c>
      <c r="BV53" s="540">
        <v>0</v>
      </c>
      <c r="BW53" s="540">
        <v>853004.24018348625</v>
      </c>
      <c r="BX53" s="540">
        <v>5120</v>
      </c>
      <c r="BY53" s="540">
        <v>847884.24018348625</v>
      </c>
      <c r="CA53" s="10"/>
    </row>
    <row r="54" spans="1:79" ht="14.5" x14ac:dyDescent="0.35">
      <c r="A54" s="537">
        <v>147307</v>
      </c>
      <c r="B54" s="537">
        <v>8312024</v>
      </c>
      <c r="C54" s="538" t="s">
        <v>107</v>
      </c>
      <c r="D54" s="537">
        <v>147307</v>
      </c>
      <c r="E54" s="539">
        <v>207</v>
      </c>
      <c r="F54" s="539">
        <v>207</v>
      </c>
      <c r="G54" s="539">
        <v>0</v>
      </c>
      <c r="H54" s="540">
        <v>796329</v>
      </c>
      <c r="I54" s="540">
        <v>0</v>
      </c>
      <c r="J54" s="540">
        <v>0</v>
      </c>
      <c r="K54" s="540">
        <v>28215.000000000029</v>
      </c>
      <c r="L54" s="540">
        <v>0</v>
      </c>
      <c r="M54" s="540">
        <v>63599.999999999978</v>
      </c>
      <c r="N54" s="540">
        <v>0</v>
      </c>
      <c r="O54" s="540">
        <v>4465.0000000000018</v>
      </c>
      <c r="P54" s="540">
        <v>570</v>
      </c>
      <c r="Q54" s="540">
        <v>0</v>
      </c>
      <c r="R54" s="540">
        <v>0</v>
      </c>
      <c r="S54" s="540">
        <v>0</v>
      </c>
      <c r="T54" s="540">
        <v>0</v>
      </c>
      <c r="U54" s="540">
        <v>0</v>
      </c>
      <c r="V54" s="540">
        <v>0</v>
      </c>
      <c r="W54" s="540">
        <v>0</v>
      </c>
      <c r="X54" s="540">
        <v>0</v>
      </c>
      <c r="Y54" s="540">
        <v>0</v>
      </c>
      <c r="Z54" s="540">
        <v>0</v>
      </c>
      <c r="AA54" s="540">
        <v>15825.670391061474</v>
      </c>
      <c r="AB54" s="540">
        <v>0</v>
      </c>
      <c r="AC54" s="540">
        <v>72314.688311688369</v>
      </c>
      <c r="AD54" s="540">
        <v>0</v>
      </c>
      <c r="AE54" s="540">
        <v>3454.700000000008</v>
      </c>
      <c r="AF54" s="540">
        <v>0</v>
      </c>
      <c r="AG54" s="540">
        <v>145100</v>
      </c>
      <c r="AH54" s="540">
        <v>0</v>
      </c>
      <c r="AI54" s="540">
        <v>0</v>
      </c>
      <c r="AJ54" s="540">
        <v>0</v>
      </c>
      <c r="AK54" s="540">
        <v>10342</v>
      </c>
      <c r="AL54" s="540">
        <v>0</v>
      </c>
      <c r="AM54" s="540">
        <v>0</v>
      </c>
      <c r="AN54" s="540">
        <v>0</v>
      </c>
      <c r="AO54" s="540">
        <v>0</v>
      </c>
      <c r="AP54" s="540">
        <v>0</v>
      </c>
      <c r="AQ54" s="540">
        <v>0</v>
      </c>
      <c r="AR54" s="540">
        <v>0</v>
      </c>
      <c r="AS54" s="540">
        <v>0</v>
      </c>
      <c r="AT54" s="540">
        <v>796329</v>
      </c>
      <c r="AU54" s="540">
        <v>188445.05870274984</v>
      </c>
      <c r="AV54" s="540">
        <v>155442</v>
      </c>
      <c r="AW54" s="540">
        <v>162813.47297213963</v>
      </c>
      <c r="AX54" s="541">
        <v>1140216.0587027499</v>
      </c>
      <c r="AY54" s="541">
        <v>1129874.0587027499</v>
      </c>
      <c r="AZ54" s="541">
        <v>4955</v>
      </c>
      <c r="BA54" s="541">
        <v>1025685</v>
      </c>
      <c r="BB54" s="541">
        <v>0</v>
      </c>
      <c r="BC54" s="541">
        <v>0</v>
      </c>
      <c r="BD54" s="541">
        <v>1140216.0587027499</v>
      </c>
      <c r="BE54" s="540">
        <v>1140216.0587027497</v>
      </c>
      <c r="BF54" s="540">
        <v>0</v>
      </c>
      <c r="BG54" s="541">
        <v>1036027</v>
      </c>
      <c r="BH54" s="541">
        <v>880585</v>
      </c>
      <c r="BI54" s="540">
        <v>984774.0587027499</v>
      </c>
      <c r="BJ54" s="540">
        <v>4757.3626024287432</v>
      </c>
      <c r="BK54" s="540">
        <v>4720.3539814814822</v>
      </c>
      <c r="BL54" s="542">
        <v>7.8402215368699804E-3</v>
      </c>
      <c r="BM54" s="542">
        <v>-2.0351447617495632E-3</v>
      </c>
      <c r="BN54" s="540">
        <v>-1988.5669615562565</v>
      </c>
      <c r="BO54" s="541">
        <v>1138227.4917411937</v>
      </c>
      <c r="BP54" s="541">
        <v>5448.7221823246073</v>
      </c>
      <c r="BQ54" s="541" t="s">
        <v>771</v>
      </c>
      <c r="BR54" s="541">
        <v>5498.683534981612</v>
      </c>
      <c r="BS54" s="542">
        <v>1.0788395165099551E-2</v>
      </c>
      <c r="BT54" s="540">
        <v>0</v>
      </c>
      <c r="BU54" s="540">
        <v>1138227.4917411937</v>
      </c>
      <c r="BV54" s="540">
        <v>0</v>
      </c>
      <c r="BW54" s="540">
        <v>1138227.4917411937</v>
      </c>
      <c r="BX54" s="540">
        <v>10342</v>
      </c>
      <c r="BY54" s="540">
        <v>1127885.4917411937</v>
      </c>
      <c r="CA54" s="10"/>
    </row>
    <row r="55" spans="1:79" ht="14.5" x14ac:dyDescent="0.35">
      <c r="A55" s="537">
        <v>147725</v>
      </c>
      <c r="B55" s="537">
        <v>8312025</v>
      </c>
      <c r="C55" s="538" t="s">
        <v>108</v>
      </c>
      <c r="D55" s="537">
        <v>147725</v>
      </c>
      <c r="E55" s="539">
        <v>254</v>
      </c>
      <c r="F55" s="539">
        <v>254</v>
      </c>
      <c r="G55" s="539">
        <v>0</v>
      </c>
      <c r="H55" s="540">
        <v>977138</v>
      </c>
      <c r="I55" s="540">
        <v>0</v>
      </c>
      <c r="J55" s="540">
        <v>0</v>
      </c>
      <c r="K55" s="540">
        <v>35640.000000000022</v>
      </c>
      <c r="L55" s="540">
        <v>0</v>
      </c>
      <c r="M55" s="540">
        <v>79499.999999999985</v>
      </c>
      <c r="N55" s="540">
        <v>0</v>
      </c>
      <c r="O55" s="540">
        <v>4230.0000000000027</v>
      </c>
      <c r="P55" s="540">
        <v>5130.0000000000027</v>
      </c>
      <c r="Q55" s="540">
        <v>5340.0000000000027</v>
      </c>
      <c r="R55" s="540">
        <v>3920.0000000000018</v>
      </c>
      <c r="S55" s="540">
        <v>2599.999999999995</v>
      </c>
      <c r="T55" s="540">
        <v>1370.0000000000007</v>
      </c>
      <c r="U55" s="540">
        <v>0</v>
      </c>
      <c r="V55" s="540">
        <v>0</v>
      </c>
      <c r="W55" s="540">
        <v>0</v>
      </c>
      <c r="X55" s="540">
        <v>0</v>
      </c>
      <c r="Y55" s="540">
        <v>0</v>
      </c>
      <c r="Z55" s="540">
        <v>0</v>
      </c>
      <c r="AA55" s="540">
        <v>40460.000000000015</v>
      </c>
      <c r="AB55" s="540">
        <v>0</v>
      </c>
      <c r="AC55" s="540">
        <v>105967.93852676208</v>
      </c>
      <c r="AD55" s="540">
        <v>0</v>
      </c>
      <c r="AE55" s="540">
        <v>17138.400000000081</v>
      </c>
      <c r="AF55" s="540">
        <v>0</v>
      </c>
      <c r="AG55" s="540">
        <v>145100</v>
      </c>
      <c r="AH55" s="540">
        <v>0</v>
      </c>
      <c r="AI55" s="540">
        <v>0</v>
      </c>
      <c r="AJ55" s="540">
        <v>0</v>
      </c>
      <c r="AK55" s="540">
        <v>3977</v>
      </c>
      <c r="AL55" s="540">
        <v>0</v>
      </c>
      <c r="AM55" s="540">
        <v>0</v>
      </c>
      <c r="AN55" s="540">
        <v>0</v>
      </c>
      <c r="AO55" s="540">
        <v>0</v>
      </c>
      <c r="AP55" s="540">
        <v>0</v>
      </c>
      <c r="AQ55" s="540">
        <v>0</v>
      </c>
      <c r="AR55" s="540">
        <v>0</v>
      </c>
      <c r="AS55" s="540">
        <v>0</v>
      </c>
      <c r="AT55" s="540">
        <v>977138</v>
      </c>
      <c r="AU55" s="540">
        <v>301296.33852676215</v>
      </c>
      <c r="AV55" s="540">
        <v>149077</v>
      </c>
      <c r="AW55" s="540">
        <v>233323.67517488089</v>
      </c>
      <c r="AX55" s="541">
        <v>1427511.3385267621</v>
      </c>
      <c r="AY55" s="541">
        <v>1423534.3385267621</v>
      </c>
      <c r="AZ55" s="541">
        <v>4955</v>
      </c>
      <c r="BA55" s="541">
        <v>1258570</v>
      </c>
      <c r="BB55" s="541">
        <v>0</v>
      </c>
      <c r="BC55" s="541">
        <v>0</v>
      </c>
      <c r="BD55" s="541">
        <v>1427511.3385267621</v>
      </c>
      <c r="BE55" s="540">
        <v>1427511.3385267623</v>
      </c>
      <c r="BF55" s="540">
        <v>0</v>
      </c>
      <c r="BG55" s="541">
        <v>1262547</v>
      </c>
      <c r="BH55" s="541">
        <v>1113470</v>
      </c>
      <c r="BI55" s="540">
        <v>1278434.3385267621</v>
      </c>
      <c r="BJ55" s="540">
        <v>5033.2060571919765</v>
      </c>
      <c r="BK55" s="540">
        <v>4850.1230303030306</v>
      </c>
      <c r="BL55" s="542">
        <v>3.774812014974948E-2</v>
      </c>
      <c r="BM55" s="542">
        <v>-2.6978332204891063E-2</v>
      </c>
      <c r="BN55" s="540">
        <v>-33235.450507911453</v>
      </c>
      <c r="BO55" s="541">
        <v>1394275.8880188507</v>
      </c>
      <c r="BP55" s="541">
        <v>5473.6176693655543</v>
      </c>
      <c r="BQ55" s="541" t="s">
        <v>771</v>
      </c>
      <c r="BR55" s="541">
        <v>5489.2751496805149</v>
      </c>
      <c r="BS55" s="542">
        <v>-1.0471962168857596E-3</v>
      </c>
      <c r="BT55" s="540">
        <v>0</v>
      </c>
      <c r="BU55" s="540">
        <v>1394275.8880188507</v>
      </c>
      <c r="BV55" s="540">
        <v>0</v>
      </c>
      <c r="BW55" s="540">
        <v>1394275.8880188507</v>
      </c>
      <c r="BX55" s="540">
        <v>3977</v>
      </c>
      <c r="BY55" s="540">
        <v>1390298.8880188507</v>
      </c>
      <c r="CA55" s="10"/>
    </row>
    <row r="56" spans="1:79" ht="14.5" x14ac:dyDescent="0.35">
      <c r="A56" s="537">
        <v>148384</v>
      </c>
      <c r="B56" s="537">
        <v>8312026</v>
      </c>
      <c r="C56" s="538" t="s">
        <v>109</v>
      </c>
      <c r="D56" s="537">
        <v>148384</v>
      </c>
      <c r="E56" s="539">
        <v>451</v>
      </c>
      <c r="F56" s="539">
        <v>451</v>
      </c>
      <c r="G56" s="539">
        <v>0</v>
      </c>
      <c r="H56" s="540">
        <v>1734997</v>
      </c>
      <c r="I56" s="540">
        <v>0</v>
      </c>
      <c r="J56" s="540">
        <v>0</v>
      </c>
      <c r="K56" s="540">
        <v>80189.999999999956</v>
      </c>
      <c r="L56" s="540">
        <v>0</v>
      </c>
      <c r="M56" s="540">
        <v>181260.00000000012</v>
      </c>
      <c r="N56" s="540">
        <v>0</v>
      </c>
      <c r="O56" s="540">
        <v>57809.999999999949</v>
      </c>
      <c r="P56" s="540">
        <v>10260.000000000004</v>
      </c>
      <c r="Q56" s="540">
        <v>1335.0000000000005</v>
      </c>
      <c r="R56" s="540">
        <v>25480.000000000015</v>
      </c>
      <c r="S56" s="540">
        <v>5200.0000000000009</v>
      </c>
      <c r="T56" s="540">
        <v>35620.000000000022</v>
      </c>
      <c r="U56" s="540">
        <v>0</v>
      </c>
      <c r="V56" s="540">
        <v>0</v>
      </c>
      <c r="W56" s="540">
        <v>0</v>
      </c>
      <c r="X56" s="540">
        <v>0</v>
      </c>
      <c r="Y56" s="540">
        <v>0</v>
      </c>
      <c r="Z56" s="540">
        <v>0</v>
      </c>
      <c r="AA56" s="540">
        <v>54348.354430379681</v>
      </c>
      <c r="AB56" s="540">
        <v>0</v>
      </c>
      <c r="AC56" s="540">
        <v>241129.89417989412</v>
      </c>
      <c r="AD56" s="540">
        <v>0</v>
      </c>
      <c r="AE56" s="540">
        <v>6697.0999999999967</v>
      </c>
      <c r="AF56" s="540">
        <v>0</v>
      </c>
      <c r="AG56" s="540">
        <v>145100</v>
      </c>
      <c r="AH56" s="540">
        <v>0</v>
      </c>
      <c r="AI56" s="540">
        <v>0</v>
      </c>
      <c r="AJ56" s="540">
        <v>0</v>
      </c>
      <c r="AK56" s="540">
        <v>7012</v>
      </c>
      <c r="AL56" s="540">
        <v>0</v>
      </c>
      <c r="AM56" s="540">
        <v>0</v>
      </c>
      <c r="AN56" s="540">
        <v>0</v>
      </c>
      <c r="AO56" s="540">
        <v>0</v>
      </c>
      <c r="AP56" s="540">
        <v>0</v>
      </c>
      <c r="AQ56" s="540">
        <v>0</v>
      </c>
      <c r="AR56" s="540">
        <v>0</v>
      </c>
      <c r="AS56" s="540">
        <v>0</v>
      </c>
      <c r="AT56" s="540">
        <v>1734997</v>
      </c>
      <c r="AU56" s="540">
        <v>699330.3486102738</v>
      </c>
      <c r="AV56" s="540">
        <v>152112</v>
      </c>
      <c r="AW56" s="540">
        <v>454424.78432238294</v>
      </c>
      <c r="AX56" s="541">
        <v>2586439.3486102736</v>
      </c>
      <c r="AY56" s="541">
        <v>2579427.3486102736</v>
      </c>
      <c r="AZ56" s="541">
        <v>4955</v>
      </c>
      <c r="BA56" s="541">
        <v>2234705</v>
      </c>
      <c r="BB56" s="541">
        <v>0</v>
      </c>
      <c r="BC56" s="541">
        <v>0</v>
      </c>
      <c r="BD56" s="541">
        <v>2586439.3486102736</v>
      </c>
      <c r="BE56" s="540">
        <v>2586439.348610274</v>
      </c>
      <c r="BF56" s="540">
        <v>0</v>
      </c>
      <c r="BG56" s="541">
        <v>2241717</v>
      </c>
      <c r="BH56" s="541">
        <v>2089605</v>
      </c>
      <c r="BI56" s="540">
        <v>2434327.3486102736</v>
      </c>
      <c r="BJ56" s="540">
        <v>5397.6216155438442</v>
      </c>
      <c r="BK56" s="540">
        <v>5269.2044018058687</v>
      </c>
      <c r="BL56" s="542">
        <v>2.4371272007205534E-2</v>
      </c>
      <c r="BM56" s="542">
        <v>-1.5822040854009414E-2</v>
      </c>
      <c r="BN56" s="540">
        <v>-37599.674858387909</v>
      </c>
      <c r="BO56" s="541">
        <v>2548839.6737518855</v>
      </c>
      <c r="BP56" s="541">
        <v>5635.9815382525176</v>
      </c>
      <c r="BQ56" s="541" t="s">
        <v>771</v>
      </c>
      <c r="BR56" s="541">
        <v>5651.5292100928727</v>
      </c>
      <c r="BS56" s="542">
        <v>6.9409186108151388E-3</v>
      </c>
      <c r="BT56" s="540">
        <v>0</v>
      </c>
      <c r="BU56" s="540">
        <v>2548839.6737518855</v>
      </c>
      <c r="BV56" s="540">
        <v>0</v>
      </c>
      <c r="BW56" s="540">
        <v>2548839.6737518855</v>
      </c>
      <c r="BX56" s="540">
        <v>7012</v>
      </c>
      <c r="BY56" s="540">
        <v>2541827.6737518855</v>
      </c>
      <c r="CA56" s="10"/>
    </row>
    <row r="57" spans="1:79" ht="14.5" x14ac:dyDescent="0.35">
      <c r="A57" s="537">
        <v>148585</v>
      </c>
      <c r="B57" s="537">
        <v>8312027</v>
      </c>
      <c r="C57" s="538" t="s">
        <v>110</v>
      </c>
      <c r="D57" s="537">
        <v>148585</v>
      </c>
      <c r="E57" s="539">
        <v>136.5</v>
      </c>
      <c r="F57" s="539">
        <v>136.5</v>
      </c>
      <c r="G57" s="539">
        <v>0</v>
      </c>
      <c r="H57" s="540">
        <v>525115.5</v>
      </c>
      <c r="I57" s="540">
        <v>0</v>
      </c>
      <c r="J57" s="540">
        <v>0</v>
      </c>
      <c r="K57" s="540">
        <v>14194.852941176445</v>
      </c>
      <c r="L57" s="540">
        <v>0</v>
      </c>
      <c r="M57" s="540">
        <v>30397.058823529354</v>
      </c>
      <c r="N57" s="540">
        <v>0</v>
      </c>
      <c r="O57" s="540">
        <v>815.52966101694835</v>
      </c>
      <c r="P57" s="540">
        <v>27033.940677966093</v>
      </c>
      <c r="Q57" s="540">
        <v>1029.5338983050858</v>
      </c>
      <c r="R57" s="540">
        <v>8502.3305084746007</v>
      </c>
      <c r="S57" s="540">
        <v>601.52542372881362</v>
      </c>
      <c r="T57" s="540">
        <v>10301.122881355957</v>
      </c>
      <c r="U57" s="540">
        <v>0</v>
      </c>
      <c r="V57" s="540">
        <v>0</v>
      </c>
      <c r="W57" s="540">
        <v>0</v>
      </c>
      <c r="X57" s="540">
        <v>0</v>
      </c>
      <c r="Y57" s="540">
        <v>0</v>
      </c>
      <c r="Z57" s="540">
        <v>0</v>
      </c>
      <c r="AA57" s="540">
        <v>58403.595505618017</v>
      </c>
      <c r="AB57" s="540">
        <v>0</v>
      </c>
      <c r="AC57" s="540">
        <v>100581.99152542373</v>
      </c>
      <c r="AD57" s="540">
        <v>0</v>
      </c>
      <c r="AE57" s="540">
        <v>13306.205084745714</v>
      </c>
      <c r="AF57" s="540">
        <v>0</v>
      </c>
      <c r="AG57" s="540">
        <v>145100</v>
      </c>
      <c r="AH57" s="540">
        <v>0</v>
      </c>
      <c r="AI57" s="540">
        <v>0</v>
      </c>
      <c r="AJ57" s="540">
        <v>0</v>
      </c>
      <c r="AK57" s="540">
        <v>6400</v>
      </c>
      <c r="AL57" s="540">
        <v>0</v>
      </c>
      <c r="AM57" s="540">
        <v>0</v>
      </c>
      <c r="AN57" s="540">
        <v>0</v>
      </c>
      <c r="AO57" s="540">
        <v>0</v>
      </c>
      <c r="AP57" s="540">
        <v>0</v>
      </c>
      <c r="AQ57" s="540">
        <v>0</v>
      </c>
      <c r="AR57" s="540">
        <v>0</v>
      </c>
      <c r="AS57" s="540">
        <v>0</v>
      </c>
      <c r="AT57" s="540">
        <v>525115.5</v>
      </c>
      <c r="AU57" s="540">
        <v>265167.68693134078</v>
      </c>
      <c r="AV57" s="540">
        <v>151500</v>
      </c>
      <c r="AW57" s="540">
        <v>164887.15027417743</v>
      </c>
      <c r="AX57" s="541">
        <v>941783.18693134072</v>
      </c>
      <c r="AY57" s="541">
        <v>935383.18693134072</v>
      </c>
      <c r="AZ57" s="541">
        <v>4955</v>
      </c>
      <c r="BA57" s="541">
        <v>676357.5</v>
      </c>
      <c r="BB57" s="541">
        <v>0</v>
      </c>
      <c r="BC57" s="541">
        <v>0</v>
      </c>
      <c r="BD57" s="541">
        <v>941783.18693134072</v>
      </c>
      <c r="BE57" s="540">
        <v>941783.18693134072</v>
      </c>
      <c r="BF57" s="540">
        <v>0</v>
      </c>
      <c r="BG57" s="541">
        <v>682757.5</v>
      </c>
      <c r="BH57" s="541">
        <v>531257.5</v>
      </c>
      <c r="BI57" s="540">
        <v>790283.18693134072</v>
      </c>
      <c r="BJ57" s="540">
        <v>5789.620417079419</v>
      </c>
      <c r="BK57" s="540">
        <v>5979.8517212283441</v>
      </c>
      <c r="BL57" s="542">
        <v>-3.1812043678877203E-2</v>
      </c>
      <c r="BM57" s="542">
        <v>3.1812043678877203E-2</v>
      </c>
      <c r="BN57" s="540">
        <v>25966.573016328275</v>
      </c>
      <c r="BO57" s="541">
        <v>967749.75994766899</v>
      </c>
      <c r="BP57" s="541">
        <v>7042.8553842320071</v>
      </c>
      <c r="BQ57" s="541" t="s">
        <v>771</v>
      </c>
      <c r="BR57" s="541">
        <v>7089.7418311184538</v>
      </c>
      <c r="BS57" s="542">
        <v>-4.7239899294219789E-2</v>
      </c>
      <c r="BT57" s="540">
        <v>0</v>
      </c>
      <c r="BU57" s="540">
        <v>967749.75994766899</v>
      </c>
      <c r="BV57" s="540">
        <v>0</v>
      </c>
      <c r="BW57" s="540">
        <v>967749.75994766899</v>
      </c>
      <c r="BX57" s="540">
        <v>6400</v>
      </c>
      <c r="BY57" s="540">
        <v>961349.75994766899</v>
      </c>
      <c r="CA57" s="10"/>
    </row>
    <row r="58" spans="1:79" ht="14.5" x14ac:dyDescent="0.35">
      <c r="A58" s="537">
        <v>149747</v>
      </c>
      <c r="B58" s="537">
        <v>8312028</v>
      </c>
      <c r="C58" s="538" t="s">
        <v>152</v>
      </c>
      <c r="D58" s="537">
        <v>149747</v>
      </c>
      <c r="E58" s="539">
        <v>116.25</v>
      </c>
      <c r="F58" s="539">
        <v>116.25</v>
      </c>
      <c r="G58" s="539">
        <v>0</v>
      </c>
      <c r="H58" s="540">
        <v>447213.75</v>
      </c>
      <c r="I58" s="540">
        <v>0</v>
      </c>
      <c r="J58" s="540">
        <v>0</v>
      </c>
      <c r="K58" s="540">
        <v>5003.8043478260861</v>
      </c>
      <c r="L58" s="540">
        <v>0</v>
      </c>
      <c r="M58" s="540">
        <v>13394.021739130429</v>
      </c>
      <c r="N58" s="540">
        <v>0</v>
      </c>
      <c r="O58" s="540">
        <v>4249.5833333333458</v>
      </c>
      <c r="P58" s="540">
        <v>2208.7500000000009</v>
      </c>
      <c r="Q58" s="540">
        <v>0</v>
      </c>
      <c r="R58" s="540">
        <v>2531.6666666666642</v>
      </c>
      <c r="S58" s="540">
        <v>0</v>
      </c>
      <c r="T58" s="540">
        <v>3539.1666666666633</v>
      </c>
      <c r="U58" s="540">
        <v>0</v>
      </c>
      <c r="V58" s="540">
        <v>0</v>
      </c>
      <c r="W58" s="540">
        <v>0</v>
      </c>
      <c r="X58" s="540">
        <v>0</v>
      </c>
      <c r="Y58" s="540">
        <v>0</v>
      </c>
      <c r="Z58" s="540">
        <v>0</v>
      </c>
      <c r="AA58" s="540">
        <v>7685.4166666666588</v>
      </c>
      <c r="AB58" s="540">
        <v>0</v>
      </c>
      <c r="AC58" s="540">
        <v>68296.875</v>
      </c>
      <c r="AD58" s="540">
        <v>0</v>
      </c>
      <c r="AE58" s="540">
        <v>0</v>
      </c>
      <c r="AF58" s="540">
        <v>0</v>
      </c>
      <c r="AG58" s="540">
        <v>145100</v>
      </c>
      <c r="AH58" s="540">
        <v>0</v>
      </c>
      <c r="AI58" s="540">
        <v>0</v>
      </c>
      <c r="AJ58" s="540">
        <v>0</v>
      </c>
      <c r="AK58" s="540">
        <v>7337</v>
      </c>
      <c r="AL58" s="540">
        <v>0</v>
      </c>
      <c r="AM58" s="540">
        <v>0</v>
      </c>
      <c r="AN58" s="540">
        <v>0</v>
      </c>
      <c r="AO58" s="540">
        <v>0</v>
      </c>
      <c r="AP58" s="540">
        <v>0</v>
      </c>
      <c r="AQ58" s="540">
        <v>0</v>
      </c>
      <c r="AR58" s="540">
        <v>0</v>
      </c>
      <c r="AS58" s="540">
        <v>0</v>
      </c>
      <c r="AT58" s="540">
        <v>447213.75</v>
      </c>
      <c r="AU58" s="540">
        <v>106909.28442028986</v>
      </c>
      <c r="AV58" s="540">
        <v>152437</v>
      </c>
      <c r="AW58" s="540">
        <v>89671.166508152164</v>
      </c>
      <c r="AX58" s="541">
        <v>706560.0344202898</v>
      </c>
      <c r="AY58" s="541">
        <v>699223.0344202898</v>
      </c>
      <c r="AZ58" s="541">
        <v>4955</v>
      </c>
      <c r="BA58" s="541">
        <v>576018.75</v>
      </c>
      <c r="BB58" s="541">
        <v>0</v>
      </c>
      <c r="BC58" s="541">
        <v>0</v>
      </c>
      <c r="BD58" s="541">
        <v>706560.0344202898</v>
      </c>
      <c r="BE58" s="540">
        <v>706560.03442029003</v>
      </c>
      <c r="BF58" s="540">
        <v>0</v>
      </c>
      <c r="BG58" s="541">
        <v>583355.75</v>
      </c>
      <c r="BH58" s="541">
        <v>430918.75</v>
      </c>
      <c r="BI58" s="540">
        <v>554123.0344202898</v>
      </c>
      <c r="BJ58" s="540">
        <v>4766.6497584541057</v>
      </c>
      <c r="BK58" s="540">
        <v>4357.6377543859653</v>
      </c>
      <c r="BL58" s="542">
        <v>9.3860946485620461E-2</v>
      </c>
      <c r="BM58" s="542">
        <v>0</v>
      </c>
      <c r="BN58" s="540">
        <v>0</v>
      </c>
      <c r="BO58" s="541">
        <v>706560.0344202898</v>
      </c>
      <c r="BP58" s="541">
        <v>6014.8218014648583</v>
      </c>
      <c r="BQ58" s="541" t="s">
        <v>771</v>
      </c>
      <c r="BR58" s="541">
        <v>6077.9357799594818</v>
      </c>
      <c r="BS58" s="542">
        <v>-5.7750374961657913E-2</v>
      </c>
      <c r="BT58" s="540">
        <v>0</v>
      </c>
      <c r="BU58" s="540">
        <v>706560.0344202898</v>
      </c>
      <c r="BV58" s="540">
        <v>0</v>
      </c>
      <c r="BW58" s="540">
        <v>706560.0344202898</v>
      </c>
      <c r="BX58" s="540">
        <v>7337</v>
      </c>
      <c r="BY58" s="540">
        <v>699223.0344202898</v>
      </c>
      <c r="CA58" s="10"/>
    </row>
    <row r="59" spans="1:79" ht="14.5" x14ac:dyDescent="0.35">
      <c r="A59" s="537">
        <v>150481</v>
      </c>
      <c r="B59" s="537">
        <v>8312029</v>
      </c>
      <c r="C59" s="538" t="s">
        <v>98</v>
      </c>
      <c r="D59" s="537">
        <v>150481</v>
      </c>
      <c r="E59" s="539">
        <v>208</v>
      </c>
      <c r="F59" s="539">
        <v>208</v>
      </c>
      <c r="G59" s="539">
        <v>0</v>
      </c>
      <c r="H59" s="540">
        <v>800176</v>
      </c>
      <c r="I59" s="540">
        <v>0</v>
      </c>
      <c r="J59" s="540">
        <v>0</v>
      </c>
      <c r="K59" s="540">
        <v>32175</v>
      </c>
      <c r="L59" s="540">
        <v>0</v>
      </c>
      <c r="M59" s="540">
        <v>71020.000000000087</v>
      </c>
      <c r="N59" s="540">
        <v>0</v>
      </c>
      <c r="O59" s="540">
        <v>470.00000000000023</v>
      </c>
      <c r="P59" s="540">
        <v>7125.0000000000182</v>
      </c>
      <c r="Q59" s="540">
        <v>18690.000000000011</v>
      </c>
      <c r="R59" s="540">
        <v>9800.0000000000055</v>
      </c>
      <c r="S59" s="540">
        <v>19760.000000000033</v>
      </c>
      <c r="T59" s="540">
        <v>1370.0000000000007</v>
      </c>
      <c r="U59" s="540">
        <v>0</v>
      </c>
      <c r="V59" s="540">
        <v>0</v>
      </c>
      <c r="W59" s="540">
        <v>0</v>
      </c>
      <c r="X59" s="540">
        <v>0</v>
      </c>
      <c r="Y59" s="540">
        <v>0</v>
      </c>
      <c r="Z59" s="540">
        <v>0</v>
      </c>
      <c r="AA59" s="540">
        <v>62872.72727272733</v>
      </c>
      <c r="AB59" s="540">
        <v>0</v>
      </c>
      <c r="AC59" s="540">
        <v>106563.7836086816</v>
      </c>
      <c r="AD59" s="540">
        <v>0</v>
      </c>
      <c r="AE59" s="540">
        <v>22696.799999999981</v>
      </c>
      <c r="AF59" s="540">
        <v>0</v>
      </c>
      <c r="AG59" s="540">
        <v>145100</v>
      </c>
      <c r="AH59" s="540">
        <v>0</v>
      </c>
      <c r="AI59" s="540">
        <v>0</v>
      </c>
      <c r="AJ59" s="540">
        <v>0</v>
      </c>
      <c r="AK59" s="540">
        <v>5527</v>
      </c>
      <c r="AL59" s="540">
        <v>0</v>
      </c>
      <c r="AM59" s="540">
        <v>0</v>
      </c>
      <c r="AN59" s="540">
        <v>0</v>
      </c>
      <c r="AO59" s="540">
        <v>0</v>
      </c>
      <c r="AP59" s="540">
        <v>0</v>
      </c>
      <c r="AQ59" s="540">
        <v>0</v>
      </c>
      <c r="AR59" s="540">
        <v>0</v>
      </c>
      <c r="AS59" s="540">
        <v>0</v>
      </c>
      <c r="AT59" s="540">
        <v>800176</v>
      </c>
      <c r="AU59" s="540">
        <v>352543.31088140904</v>
      </c>
      <c r="AV59" s="540">
        <v>150627</v>
      </c>
      <c r="AW59" s="540">
        <v>234809.79248652712</v>
      </c>
      <c r="AX59" s="541">
        <v>1303346.3108814091</v>
      </c>
      <c r="AY59" s="541">
        <v>1297819.3108814091</v>
      </c>
      <c r="AZ59" s="541">
        <v>4955</v>
      </c>
      <c r="BA59" s="541">
        <v>1030640</v>
      </c>
      <c r="BB59" s="541">
        <v>0</v>
      </c>
      <c r="BC59" s="541">
        <v>0</v>
      </c>
      <c r="BD59" s="541">
        <v>1303346.3108814091</v>
      </c>
      <c r="BE59" s="540">
        <v>1303346.3108814091</v>
      </c>
      <c r="BF59" s="540">
        <v>0</v>
      </c>
      <c r="BG59" s="541">
        <v>1036167</v>
      </c>
      <c r="BH59" s="541">
        <v>885540</v>
      </c>
      <c r="BI59" s="540">
        <v>1152719.3108814091</v>
      </c>
      <c r="BJ59" s="540">
        <v>5541.9197638529286</v>
      </c>
      <c r="BK59" s="540">
        <v>5297.5599551569503</v>
      </c>
      <c r="BL59" s="542">
        <v>4.6126860434699622E-2</v>
      </c>
      <c r="BM59" s="542">
        <v>-3.3966201602539485E-2</v>
      </c>
      <c r="BN59" s="540">
        <v>-37427.101803187412</v>
      </c>
      <c r="BO59" s="541">
        <v>1265919.2090782216</v>
      </c>
      <c r="BP59" s="541">
        <v>6059.5779282606809</v>
      </c>
      <c r="BQ59" s="541" t="s">
        <v>771</v>
      </c>
      <c r="BR59" s="541">
        <v>6086.1500436452961</v>
      </c>
      <c r="BS59" s="542">
        <v>1.8940932257840437E-2</v>
      </c>
      <c r="BT59" s="540">
        <v>0</v>
      </c>
      <c r="BU59" s="540">
        <v>1265919.2090782216</v>
      </c>
      <c r="BV59" s="540">
        <v>0</v>
      </c>
      <c r="BW59" s="540">
        <v>1265919.2090782216</v>
      </c>
      <c r="BX59" s="540">
        <v>5527</v>
      </c>
      <c r="BY59" s="540">
        <v>1260392.2090782216</v>
      </c>
      <c r="CA59" s="10"/>
    </row>
    <row r="60" spans="1:79" ht="14.5" x14ac:dyDescent="0.35">
      <c r="A60" s="537">
        <v>146879</v>
      </c>
      <c r="B60" s="537">
        <v>8312440</v>
      </c>
      <c r="C60" s="538" t="s">
        <v>111</v>
      </c>
      <c r="D60" s="537">
        <v>146879</v>
      </c>
      <c r="E60" s="539">
        <v>322</v>
      </c>
      <c r="F60" s="539">
        <v>322</v>
      </c>
      <c r="G60" s="539">
        <v>0</v>
      </c>
      <c r="H60" s="540">
        <v>1238734</v>
      </c>
      <c r="I60" s="540">
        <v>0</v>
      </c>
      <c r="J60" s="540">
        <v>0</v>
      </c>
      <c r="K60" s="540">
        <v>28709.999999999927</v>
      </c>
      <c r="L60" s="540">
        <v>0</v>
      </c>
      <c r="M60" s="540">
        <v>61479.99999999984</v>
      </c>
      <c r="N60" s="540">
        <v>0</v>
      </c>
      <c r="O60" s="540">
        <v>5874.9999999999973</v>
      </c>
      <c r="P60" s="540">
        <v>5129.9999999999982</v>
      </c>
      <c r="Q60" s="540">
        <v>1779.9999999999993</v>
      </c>
      <c r="R60" s="540">
        <v>4899.9999999999982</v>
      </c>
      <c r="S60" s="540">
        <v>1559.9999999999995</v>
      </c>
      <c r="T60" s="540">
        <v>1369.9999999999995</v>
      </c>
      <c r="U60" s="540">
        <v>0</v>
      </c>
      <c r="V60" s="540">
        <v>0</v>
      </c>
      <c r="W60" s="540">
        <v>0</v>
      </c>
      <c r="X60" s="540">
        <v>0</v>
      </c>
      <c r="Y60" s="540">
        <v>0</v>
      </c>
      <c r="Z60" s="540">
        <v>0</v>
      </c>
      <c r="AA60" s="540">
        <v>11937.071651090349</v>
      </c>
      <c r="AB60" s="540">
        <v>0</v>
      </c>
      <c r="AC60" s="540">
        <v>99249.225893747236</v>
      </c>
      <c r="AD60" s="540">
        <v>0</v>
      </c>
      <c r="AE60" s="540">
        <v>1621.1999999999916</v>
      </c>
      <c r="AF60" s="540">
        <v>0</v>
      </c>
      <c r="AG60" s="540">
        <v>145100</v>
      </c>
      <c r="AH60" s="540">
        <v>0</v>
      </c>
      <c r="AI60" s="540">
        <v>0</v>
      </c>
      <c r="AJ60" s="540">
        <v>0</v>
      </c>
      <c r="AK60" s="540">
        <v>8038</v>
      </c>
      <c r="AL60" s="540">
        <v>0</v>
      </c>
      <c r="AM60" s="540">
        <v>0</v>
      </c>
      <c r="AN60" s="540">
        <v>0</v>
      </c>
      <c r="AO60" s="540">
        <v>0</v>
      </c>
      <c r="AP60" s="540">
        <v>0</v>
      </c>
      <c r="AQ60" s="540">
        <v>0</v>
      </c>
      <c r="AR60" s="540">
        <v>0</v>
      </c>
      <c r="AS60" s="540">
        <v>0</v>
      </c>
      <c r="AT60" s="540">
        <v>1238734</v>
      </c>
      <c r="AU60" s="540">
        <v>223612.49754483733</v>
      </c>
      <c r="AV60" s="540">
        <v>153138</v>
      </c>
      <c r="AW60" s="540">
        <v>226116.71504699506</v>
      </c>
      <c r="AX60" s="541">
        <v>1615484.4975448374</v>
      </c>
      <c r="AY60" s="541">
        <v>1607446.4975448374</v>
      </c>
      <c r="AZ60" s="541">
        <v>4955</v>
      </c>
      <c r="BA60" s="541">
        <v>1595510</v>
      </c>
      <c r="BB60" s="541">
        <v>0</v>
      </c>
      <c r="BC60" s="541">
        <v>0</v>
      </c>
      <c r="BD60" s="541">
        <v>1615484.4975448374</v>
      </c>
      <c r="BE60" s="540">
        <v>1615484.4975448374</v>
      </c>
      <c r="BF60" s="540">
        <v>0</v>
      </c>
      <c r="BG60" s="541">
        <v>1603548</v>
      </c>
      <c r="BH60" s="541">
        <v>1450410</v>
      </c>
      <c r="BI60" s="540">
        <v>1462346.4975448374</v>
      </c>
      <c r="BJ60" s="540">
        <v>4541.4487501392468</v>
      </c>
      <c r="BK60" s="540">
        <v>4517.971014492754</v>
      </c>
      <c r="BL60" s="542">
        <v>5.1965219721819729E-3</v>
      </c>
      <c r="BM60" s="542">
        <v>0</v>
      </c>
      <c r="BN60" s="540">
        <v>0</v>
      </c>
      <c r="BO60" s="541">
        <v>1615484.4975448374</v>
      </c>
      <c r="BP60" s="541">
        <v>4992.0698681516687</v>
      </c>
      <c r="BQ60" s="541" t="s">
        <v>771</v>
      </c>
      <c r="BR60" s="541">
        <v>5017.0326010709241</v>
      </c>
      <c r="BS60" s="542">
        <v>1.1121287715866623E-2</v>
      </c>
      <c r="BT60" s="540">
        <v>0</v>
      </c>
      <c r="BU60" s="540">
        <v>1615484.4975448374</v>
      </c>
      <c r="BV60" s="540">
        <v>0</v>
      </c>
      <c r="BW60" s="540">
        <v>1615484.4975448374</v>
      </c>
      <c r="BX60" s="540">
        <v>8038</v>
      </c>
      <c r="BY60" s="540">
        <v>1607446.4975448374</v>
      </c>
      <c r="CA60" s="10"/>
    </row>
    <row r="61" spans="1:79" ht="14.5" x14ac:dyDescent="0.35">
      <c r="A61" s="537">
        <v>145759</v>
      </c>
      <c r="B61" s="537">
        <v>8312442</v>
      </c>
      <c r="C61" s="538" t="s">
        <v>112</v>
      </c>
      <c r="D61" s="537">
        <v>145759</v>
      </c>
      <c r="E61" s="539">
        <v>337</v>
      </c>
      <c r="F61" s="539">
        <v>337</v>
      </c>
      <c r="G61" s="539">
        <v>0</v>
      </c>
      <c r="H61" s="540">
        <v>1296439</v>
      </c>
      <c r="I61" s="540">
        <v>0</v>
      </c>
      <c r="J61" s="540">
        <v>0</v>
      </c>
      <c r="K61" s="540">
        <v>67814.999999999956</v>
      </c>
      <c r="L61" s="540">
        <v>0</v>
      </c>
      <c r="M61" s="540">
        <v>151580.00000000006</v>
      </c>
      <c r="N61" s="540">
        <v>0</v>
      </c>
      <c r="O61" s="540">
        <v>10340.000000000033</v>
      </c>
      <c r="P61" s="540">
        <v>19379.999999999996</v>
      </c>
      <c r="Q61" s="540">
        <v>0</v>
      </c>
      <c r="R61" s="540">
        <v>25969.999999999916</v>
      </c>
      <c r="S61" s="540">
        <v>13000.000000000002</v>
      </c>
      <c r="T61" s="540">
        <v>19864.999999999996</v>
      </c>
      <c r="U61" s="540">
        <v>0</v>
      </c>
      <c r="V61" s="540">
        <v>0</v>
      </c>
      <c r="W61" s="540">
        <v>0</v>
      </c>
      <c r="X61" s="540">
        <v>0</v>
      </c>
      <c r="Y61" s="540">
        <v>0</v>
      </c>
      <c r="Z61" s="540">
        <v>0</v>
      </c>
      <c r="AA61" s="540">
        <v>8925.0000000000091</v>
      </c>
      <c r="AB61" s="540">
        <v>0</v>
      </c>
      <c r="AC61" s="540">
        <v>98676.918180395834</v>
      </c>
      <c r="AD61" s="540">
        <v>0</v>
      </c>
      <c r="AE61" s="540">
        <v>1717.7000000000071</v>
      </c>
      <c r="AF61" s="540">
        <v>0</v>
      </c>
      <c r="AG61" s="540">
        <v>145100</v>
      </c>
      <c r="AH61" s="540">
        <v>0</v>
      </c>
      <c r="AI61" s="540">
        <v>0</v>
      </c>
      <c r="AJ61" s="540">
        <v>0</v>
      </c>
      <c r="AK61" s="540">
        <v>5583</v>
      </c>
      <c r="AL61" s="540">
        <v>0</v>
      </c>
      <c r="AM61" s="540">
        <v>0</v>
      </c>
      <c r="AN61" s="540">
        <v>0</v>
      </c>
      <c r="AO61" s="540">
        <v>0</v>
      </c>
      <c r="AP61" s="540">
        <v>0</v>
      </c>
      <c r="AQ61" s="540">
        <v>0</v>
      </c>
      <c r="AR61" s="540">
        <v>0</v>
      </c>
      <c r="AS61" s="540">
        <v>0</v>
      </c>
      <c r="AT61" s="540">
        <v>1296439</v>
      </c>
      <c r="AU61" s="540">
        <v>417269.6181803958</v>
      </c>
      <c r="AV61" s="540">
        <v>150683</v>
      </c>
      <c r="AW61" s="540">
        <v>301240.52361317765</v>
      </c>
      <c r="AX61" s="541">
        <v>1864391.6181803958</v>
      </c>
      <c r="AY61" s="541">
        <v>1858808.6181803958</v>
      </c>
      <c r="AZ61" s="541">
        <v>4955</v>
      </c>
      <c r="BA61" s="541">
        <v>1669835</v>
      </c>
      <c r="BB61" s="541">
        <v>0</v>
      </c>
      <c r="BC61" s="541">
        <v>0</v>
      </c>
      <c r="BD61" s="541">
        <v>1864391.6181803958</v>
      </c>
      <c r="BE61" s="540">
        <v>1864391.6181803958</v>
      </c>
      <c r="BF61" s="540">
        <v>0</v>
      </c>
      <c r="BG61" s="541">
        <v>1675418</v>
      </c>
      <c r="BH61" s="541">
        <v>1524735</v>
      </c>
      <c r="BI61" s="540">
        <v>1713708.6181803958</v>
      </c>
      <c r="BJ61" s="540">
        <v>5085.1887779833705</v>
      </c>
      <c r="BK61" s="540">
        <v>4882.2097839506168</v>
      </c>
      <c r="BL61" s="542">
        <v>4.1575229868247465E-2</v>
      </c>
      <c r="BM61" s="542">
        <v>-3.0170141710118382E-2</v>
      </c>
      <c r="BN61" s="540">
        <v>-49639.075870586676</v>
      </c>
      <c r="BO61" s="541">
        <v>1814752.542309809</v>
      </c>
      <c r="BP61" s="541">
        <v>5368.4556151626384</v>
      </c>
      <c r="BQ61" s="541" t="s">
        <v>771</v>
      </c>
      <c r="BR61" s="541">
        <v>5385.0223807412731</v>
      </c>
      <c r="BS61" s="542">
        <v>7.0582100303435702E-3</v>
      </c>
      <c r="BT61" s="540">
        <v>0</v>
      </c>
      <c r="BU61" s="540">
        <v>1814752.542309809</v>
      </c>
      <c r="BV61" s="540">
        <v>0</v>
      </c>
      <c r="BW61" s="540">
        <v>1814752.542309809</v>
      </c>
      <c r="BX61" s="540">
        <v>5583</v>
      </c>
      <c r="BY61" s="540">
        <v>1809169.542309809</v>
      </c>
      <c r="CA61" s="10"/>
    </row>
    <row r="62" spans="1:79" ht="14.5" x14ac:dyDescent="0.35">
      <c r="A62" s="537">
        <v>146921</v>
      </c>
      <c r="B62" s="537">
        <v>8312451</v>
      </c>
      <c r="C62" s="538" t="s">
        <v>113</v>
      </c>
      <c r="D62" s="537">
        <v>146921</v>
      </c>
      <c r="E62" s="539">
        <v>575</v>
      </c>
      <c r="F62" s="539">
        <v>575</v>
      </c>
      <c r="G62" s="539">
        <v>0</v>
      </c>
      <c r="H62" s="540">
        <v>2212025</v>
      </c>
      <c r="I62" s="540">
        <v>0</v>
      </c>
      <c r="J62" s="540">
        <v>0</v>
      </c>
      <c r="K62" s="540">
        <v>111870.00000000013</v>
      </c>
      <c r="L62" s="540">
        <v>0</v>
      </c>
      <c r="M62" s="540">
        <v>245919.99999999988</v>
      </c>
      <c r="N62" s="540">
        <v>0</v>
      </c>
      <c r="O62" s="540">
        <v>12220.000000000007</v>
      </c>
      <c r="P62" s="540">
        <v>40469.999999999927</v>
      </c>
      <c r="Q62" s="540">
        <v>20470</v>
      </c>
      <c r="R62" s="540">
        <v>25970.000000000011</v>
      </c>
      <c r="S62" s="540">
        <v>5720.0000000000009</v>
      </c>
      <c r="T62" s="540">
        <v>8219.9999999999982</v>
      </c>
      <c r="U62" s="540">
        <v>0</v>
      </c>
      <c r="V62" s="540">
        <v>0</v>
      </c>
      <c r="W62" s="540">
        <v>0</v>
      </c>
      <c r="X62" s="540">
        <v>0</v>
      </c>
      <c r="Y62" s="540">
        <v>0</v>
      </c>
      <c r="Z62" s="540">
        <v>0</v>
      </c>
      <c r="AA62" s="540">
        <v>14170.857988165691</v>
      </c>
      <c r="AB62" s="540">
        <v>0</v>
      </c>
      <c r="AC62" s="540">
        <v>118155.31915159218</v>
      </c>
      <c r="AD62" s="540">
        <v>0</v>
      </c>
      <c r="AE62" s="540">
        <v>0</v>
      </c>
      <c r="AF62" s="540">
        <v>0</v>
      </c>
      <c r="AG62" s="540">
        <v>145100</v>
      </c>
      <c r="AH62" s="540">
        <v>0</v>
      </c>
      <c r="AI62" s="540">
        <v>0</v>
      </c>
      <c r="AJ62" s="540">
        <v>0</v>
      </c>
      <c r="AK62" s="540">
        <v>8557</v>
      </c>
      <c r="AL62" s="540">
        <v>0</v>
      </c>
      <c r="AM62" s="540">
        <v>0</v>
      </c>
      <c r="AN62" s="540">
        <v>0</v>
      </c>
      <c r="AO62" s="540">
        <v>0</v>
      </c>
      <c r="AP62" s="540">
        <v>0</v>
      </c>
      <c r="AQ62" s="540">
        <v>0</v>
      </c>
      <c r="AR62" s="540">
        <v>0</v>
      </c>
      <c r="AS62" s="540">
        <v>0</v>
      </c>
      <c r="AT62" s="540">
        <v>2212025</v>
      </c>
      <c r="AU62" s="540">
        <v>603186.17713975778</v>
      </c>
      <c r="AV62" s="540">
        <v>153657</v>
      </c>
      <c r="AW62" s="540">
        <v>475201.66905064875</v>
      </c>
      <c r="AX62" s="541">
        <v>2968868.1771397577</v>
      </c>
      <c r="AY62" s="541">
        <v>2960311.1771397577</v>
      </c>
      <c r="AZ62" s="541">
        <v>4955</v>
      </c>
      <c r="BA62" s="541">
        <v>2849125</v>
      </c>
      <c r="BB62" s="541">
        <v>0</v>
      </c>
      <c r="BC62" s="541">
        <v>0</v>
      </c>
      <c r="BD62" s="541">
        <v>2968868.1771397577</v>
      </c>
      <c r="BE62" s="540">
        <v>2968868.1771397577</v>
      </c>
      <c r="BF62" s="540">
        <v>0</v>
      </c>
      <c r="BG62" s="541">
        <v>2857682</v>
      </c>
      <c r="BH62" s="541">
        <v>2704025</v>
      </c>
      <c r="BI62" s="540">
        <v>2815211.1771397577</v>
      </c>
      <c r="BJ62" s="540">
        <v>4896.0194385039267</v>
      </c>
      <c r="BK62" s="540">
        <v>4832.8734137931033</v>
      </c>
      <c r="BL62" s="542">
        <v>1.3065938067114195E-2</v>
      </c>
      <c r="BM62" s="542">
        <v>-6.3933923479732382E-3</v>
      </c>
      <c r="BN62" s="540">
        <v>-17766.612143919174</v>
      </c>
      <c r="BO62" s="541">
        <v>2951101.5649958383</v>
      </c>
      <c r="BP62" s="541">
        <v>5117.4688086884144</v>
      </c>
      <c r="BQ62" s="541" t="s">
        <v>771</v>
      </c>
      <c r="BR62" s="541">
        <v>5132.350547818849</v>
      </c>
      <c r="BS62" s="542">
        <v>6.8581174646964449E-3</v>
      </c>
      <c r="BT62" s="540">
        <v>0</v>
      </c>
      <c r="BU62" s="540">
        <v>2951101.5649958383</v>
      </c>
      <c r="BV62" s="540">
        <v>0</v>
      </c>
      <c r="BW62" s="540">
        <v>2951101.5649958383</v>
      </c>
      <c r="BX62" s="540">
        <v>8557</v>
      </c>
      <c r="BY62" s="540">
        <v>2942544.5649958383</v>
      </c>
      <c r="CA62" s="10"/>
    </row>
    <row r="63" spans="1:79" ht="14.5" x14ac:dyDescent="0.35">
      <c r="A63" s="537">
        <v>146507</v>
      </c>
      <c r="B63" s="537">
        <v>8312455</v>
      </c>
      <c r="C63" s="538" t="s">
        <v>114</v>
      </c>
      <c r="D63" s="537">
        <v>146507</v>
      </c>
      <c r="E63" s="539">
        <v>234</v>
      </c>
      <c r="F63" s="539">
        <v>234</v>
      </c>
      <c r="G63" s="539">
        <v>0</v>
      </c>
      <c r="H63" s="540">
        <v>900198</v>
      </c>
      <c r="I63" s="540">
        <v>0</v>
      </c>
      <c r="J63" s="540">
        <v>0</v>
      </c>
      <c r="K63" s="540">
        <v>31680.000000000055</v>
      </c>
      <c r="L63" s="540">
        <v>0</v>
      </c>
      <c r="M63" s="540">
        <v>67840.000000000116</v>
      </c>
      <c r="N63" s="540">
        <v>0</v>
      </c>
      <c r="O63" s="540">
        <v>9440.3433476394694</v>
      </c>
      <c r="P63" s="540">
        <v>0</v>
      </c>
      <c r="Q63" s="540">
        <v>446.90987124463504</v>
      </c>
      <c r="R63" s="540">
        <v>0</v>
      </c>
      <c r="S63" s="540">
        <v>1044.4635193133045</v>
      </c>
      <c r="T63" s="540">
        <v>2751.7596566523557</v>
      </c>
      <c r="U63" s="540">
        <v>0</v>
      </c>
      <c r="V63" s="540">
        <v>0</v>
      </c>
      <c r="W63" s="540">
        <v>0</v>
      </c>
      <c r="X63" s="540">
        <v>0</v>
      </c>
      <c r="Y63" s="540">
        <v>0</v>
      </c>
      <c r="Z63" s="540">
        <v>0</v>
      </c>
      <c r="AA63" s="540">
        <v>19061.250000000011</v>
      </c>
      <c r="AB63" s="540">
        <v>0</v>
      </c>
      <c r="AC63" s="540">
        <v>107016.46706586829</v>
      </c>
      <c r="AD63" s="540">
        <v>0</v>
      </c>
      <c r="AE63" s="540">
        <v>0</v>
      </c>
      <c r="AF63" s="540">
        <v>0</v>
      </c>
      <c r="AG63" s="540">
        <v>145100</v>
      </c>
      <c r="AH63" s="540">
        <v>0</v>
      </c>
      <c r="AI63" s="540">
        <v>0</v>
      </c>
      <c r="AJ63" s="540">
        <v>0</v>
      </c>
      <c r="AK63" s="540">
        <v>5951</v>
      </c>
      <c r="AL63" s="540">
        <v>0</v>
      </c>
      <c r="AM63" s="540">
        <v>0</v>
      </c>
      <c r="AN63" s="540">
        <v>0</v>
      </c>
      <c r="AO63" s="540">
        <v>0</v>
      </c>
      <c r="AP63" s="540">
        <v>0</v>
      </c>
      <c r="AQ63" s="540">
        <v>0</v>
      </c>
      <c r="AR63" s="540">
        <v>0</v>
      </c>
      <c r="AS63" s="540">
        <v>0</v>
      </c>
      <c r="AT63" s="540">
        <v>900198</v>
      </c>
      <c r="AU63" s="540">
        <v>239281.19346071823</v>
      </c>
      <c r="AV63" s="540">
        <v>151051</v>
      </c>
      <c r="AW63" s="540">
        <v>190074.82668292715</v>
      </c>
      <c r="AX63" s="541">
        <v>1290530.1934607183</v>
      </c>
      <c r="AY63" s="541">
        <v>1284579.1934607183</v>
      </c>
      <c r="AZ63" s="541">
        <v>4955</v>
      </c>
      <c r="BA63" s="541">
        <v>1159470</v>
      </c>
      <c r="BB63" s="541">
        <v>0</v>
      </c>
      <c r="BC63" s="541">
        <v>0</v>
      </c>
      <c r="BD63" s="541">
        <v>1290530.1934607183</v>
      </c>
      <c r="BE63" s="540">
        <v>1290530.193460718</v>
      </c>
      <c r="BF63" s="540">
        <v>0</v>
      </c>
      <c r="BG63" s="541">
        <v>1165421</v>
      </c>
      <c r="BH63" s="541">
        <v>1014370</v>
      </c>
      <c r="BI63" s="540">
        <v>1139479.1934607183</v>
      </c>
      <c r="BJ63" s="540">
        <v>4869.5692028235826</v>
      </c>
      <c r="BK63" s="540">
        <v>4712.7512062256801</v>
      </c>
      <c r="BL63" s="542">
        <v>3.3275254673054117E-2</v>
      </c>
      <c r="BM63" s="542">
        <v>-2.324796239732713E-2</v>
      </c>
      <c r="BN63" s="540">
        <v>-25637.475902288486</v>
      </c>
      <c r="BO63" s="541">
        <v>1264892.7175584298</v>
      </c>
      <c r="BP63" s="541">
        <v>5380.0928100787596</v>
      </c>
      <c r="BQ63" s="541" t="s">
        <v>771</v>
      </c>
      <c r="BR63" s="541">
        <v>5405.5244340103836</v>
      </c>
      <c r="BS63" s="542">
        <v>1.9814690549352587E-2</v>
      </c>
      <c r="BT63" s="540">
        <v>0</v>
      </c>
      <c r="BU63" s="540">
        <v>1264892.7175584298</v>
      </c>
      <c r="BV63" s="540">
        <v>0</v>
      </c>
      <c r="BW63" s="540">
        <v>1264892.7175584298</v>
      </c>
      <c r="BX63" s="540">
        <v>5951</v>
      </c>
      <c r="BY63" s="540">
        <v>1258941.7175584298</v>
      </c>
      <c r="CA63" s="10"/>
    </row>
    <row r="64" spans="1:79" ht="14.5" x14ac:dyDescent="0.35">
      <c r="A64" s="537">
        <v>147125</v>
      </c>
      <c r="B64" s="537">
        <v>8312456</v>
      </c>
      <c r="C64" s="538" t="s">
        <v>115</v>
      </c>
      <c r="D64" s="537">
        <v>147125</v>
      </c>
      <c r="E64" s="539">
        <v>147</v>
      </c>
      <c r="F64" s="539">
        <v>147</v>
      </c>
      <c r="G64" s="539">
        <v>0</v>
      </c>
      <c r="H64" s="540">
        <v>565509</v>
      </c>
      <c r="I64" s="540">
        <v>0</v>
      </c>
      <c r="J64" s="540">
        <v>0</v>
      </c>
      <c r="K64" s="540">
        <v>16334.999999999975</v>
      </c>
      <c r="L64" s="540">
        <v>0</v>
      </c>
      <c r="M64" s="540">
        <v>34979.999999999949</v>
      </c>
      <c r="N64" s="540">
        <v>0</v>
      </c>
      <c r="O64" s="540">
        <v>1175.0000000000011</v>
      </c>
      <c r="P64" s="540">
        <v>1425.0000000000014</v>
      </c>
      <c r="Q64" s="540">
        <v>1780</v>
      </c>
      <c r="R64" s="540">
        <v>1960</v>
      </c>
      <c r="S64" s="540">
        <v>519.99999999999966</v>
      </c>
      <c r="T64" s="540">
        <v>684.99999999999966</v>
      </c>
      <c r="U64" s="540">
        <v>0</v>
      </c>
      <c r="V64" s="540">
        <v>0</v>
      </c>
      <c r="W64" s="540">
        <v>0</v>
      </c>
      <c r="X64" s="540">
        <v>0</v>
      </c>
      <c r="Y64" s="540">
        <v>0</v>
      </c>
      <c r="Z64" s="540">
        <v>0</v>
      </c>
      <c r="AA64" s="540">
        <v>43732.5</v>
      </c>
      <c r="AB64" s="540">
        <v>0</v>
      </c>
      <c r="AC64" s="540">
        <v>57575.000000000058</v>
      </c>
      <c r="AD64" s="540">
        <v>0</v>
      </c>
      <c r="AE64" s="540">
        <v>3068.7000000000016</v>
      </c>
      <c r="AF64" s="540">
        <v>0</v>
      </c>
      <c r="AG64" s="540">
        <v>145100</v>
      </c>
      <c r="AH64" s="540">
        <v>0</v>
      </c>
      <c r="AI64" s="540">
        <v>0</v>
      </c>
      <c r="AJ64" s="540">
        <v>0</v>
      </c>
      <c r="AK64" s="540">
        <v>3281</v>
      </c>
      <c r="AL64" s="540">
        <v>0</v>
      </c>
      <c r="AM64" s="540">
        <v>0</v>
      </c>
      <c r="AN64" s="540">
        <v>0</v>
      </c>
      <c r="AO64" s="540">
        <v>0</v>
      </c>
      <c r="AP64" s="540">
        <v>0</v>
      </c>
      <c r="AQ64" s="540">
        <v>0</v>
      </c>
      <c r="AR64" s="540">
        <v>0</v>
      </c>
      <c r="AS64" s="540">
        <v>0</v>
      </c>
      <c r="AT64" s="540">
        <v>565509</v>
      </c>
      <c r="AU64" s="540">
        <v>163236.20000000001</v>
      </c>
      <c r="AV64" s="540">
        <v>148381</v>
      </c>
      <c r="AW64" s="540">
        <v>127760.73374999998</v>
      </c>
      <c r="AX64" s="541">
        <v>877126.2</v>
      </c>
      <c r="AY64" s="541">
        <v>873845.2</v>
      </c>
      <c r="AZ64" s="541">
        <v>4955</v>
      </c>
      <c r="BA64" s="541">
        <v>728385</v>
      </c>
      <c r="BB64" s="541">
        <v>0</v>
      </c>
      <c r="BC64" s="541">
        <v>0</v>
      </c>
      <c r="BD64" s="541">
        <v>877126.2</v>
      </c>
      <c r="BE64" s="540">
        <v>877126.2</v>
      </c>
      <c r="BF64" s="540">
        <v>0</v>
      </c>
      <c r="BG64" s="541">
        <v>731666</v>
      </c>
      <c r="BH64" s="541">
        <v>583285</v>
      </c>
      <c r="BI64" s="540">
        <v>728745.2</v>
      </c>
      <c r="BJ64" s="540">
        <v>4957.4503401360544</v>
      </c>
      <c r="BK64" s="540">
        <v>4780.9559863945569</v>
      </c>
      <c r="BL64" s="542">
        <v>3.6916121847546314E-2</v>
      </c>
      <c r="BM64" s="542">
        <v>-2.6284445620853622E-2</v>
      </c>
      <c r="BN64" s="540">
        <v>-18472.722313092101</v>
      </c>
      <c r="BO64" s="541">
        <v>858653.47768690786</v>
      </c>
      <c r="BP64" s="541">
        <v>5818.860392427945</v>
      </c>
      <c r="BQ64" s="541" t="s">
        <v>771</v>
      </c>
      <c r="BR64" s="541">
        <v>5841.1801203191008</v>
      </c>
      <c r="BS64" s="542">
        <v>8.8923488869299128E-3</v>
      </c>
      <c r="BT64" s="540">
        <v>0</v>
      </c>
      <c r="BU64" s="540">
        <v>858653.47768690786</v>
      </c>
      <c r="BV64" s="540">
        <v>0</v>
      </c>
      <c r="BW64" s="540">
        <v>858653.47768690786</v>
      </c>
      <c r="BX64" s="540">
        <v>3281</v>
      </c>
      <c r="BY64" s="540">
        <v>855372.47768690786</v>
      </c>
      <c r="CA64" s="10"/>
    </row>
    <row r="65" spans="1:79" ht="14.5" x14ac:dyDescent="0.35">
      <c r="A65" s="537">
        <v>147399</v>
      </c>
      <c r="B65" s="537">
        <v>8312463</v>
      </c>
      <c r="C65" s="538" t="s">
        <v>116</v>
      </c>
      <c r="D65" s="537">
        <v>147399</v>
      </c>
      <c r="E65" s="539">
        <v>351</v>
      </c>
      <c r="F65" s="539">
        <v>351</v>
      </c>
      <c r="G65" s="539">
        <v>0</v>
      </c>
      <c r="H65" s="540">
        <v>1350297</v>
      </c>
      <c r="I65" s="540">
        <v>0</v>
      </c>
      <c r="J65" s="540">
        <v>0</v>
      </c>
      <c r="K65" s="540">
        <v>53460.000000000051</v>
      </c>
      <c r="L65" s="540">
        <v>0</v>
      </c>
      <c r="M65" s="540">
        <v>117659.99999999991</v>
      </c>
      <c r="N65" s="540">
        <v>0</v>
      </c>
      <c r="O65" s="540">
        <v>8929.9999999999782</v>
      </c>
      <c r="P65" s="540">
        <v>5984.9999999999973</v>
      </c>
      <c r="Q65" s="540">
        <v>3560.0000000000014</v>
      </c>
      <c r="R65" s="540">
        <v>3429.9999999999927</v>
      </c>
      <c r="S65" s="540">
        <v>1040.0000000000005</v>
      </c>
      <c r="T65" s="540">
        <v>3424.9999999999891</v>
      </c>
      <c r="U65" s="540">
        <v>0</v>
      </c>
      <c r="V65" s="540">
        <v>0</v>
      </c>
      <c r="W65" s="540">
        <v>0</v>
      </c>
      <c r="X65" s="540">
        <v>0</v>
      </c>
      <c r="Y65" s="540">
        <v>0</v>
      </c>
      <c r="Z65" s="540">
        <v>0</v>
      </c>
      <c r="AA65" s="540">
        <v>21420.000000000095</v>
      </c>
      <c r="AB65" s="540">
        <v>0</v>
      </c>
      <c r="AC65" s="540">
        <v>125959.94835280544</v>
      </c>
      <c r="AD65" s="540">
        <v>0</v>
      </c>
      <c r="AE65" s="540">
        <v>0</v>
      </c>
      <c r="AF65" s="540">
        <v>0</v>
      </c>
      <c r="AG65" s="540">
        <v>145100</v>
      </c>
      <c r="AH65" s="540">
        <v>0</v>
      </c>
      <c r="AI65" s="540">
        <v>0</v>
      </c>
      <c r="AJ65" s="540">
        <v>0</v>
      </c>
      <c r="AK65" s="540">
        <v>4224</v>
      </c>
      <c r="AL65" s="540">
        <v>0</v>
      </c>
      <c r="AM65" s="540">
        <v>0</v>
      </c>
      <c r="AN65" s="540">
        <v>0</v>
      </c>
      <c r="AO65" s="540">
        <v>0</v>
      </c>
      <c r="AP65" s="540">
        <v>0</v>
      </c>
      <c r="AQ65" s="540">
        <v>0</v>
      </c>
      <c r="AR65" s="540">
        <v>0</v>
      </c>
      <c r="AS65" s="540">
        <v>0</v>
      </c>
      <c r="AT65" s="540">
        <v>1350297</v>
      </c>
      <c r="AU65" s="540">
        <v>344869.94835280546</v>
      </c>
      <c r="AV65" s="540">
        <v>149324</v>
      </c>
      <c r="AW65" s="540">
        <v>280851.65834377974</v>
      </c>
      <c r="AX65" s="541">
        <v>1844490.9483528053</v>
      </c>
      <c r="AY65" s="541">
        <v>1840266.9483528053</v>
      </c>
      <c r="AZ65" s="541">
        <v>4955</v>
      </c>
      <c r="BA65" s="541">
        <v>1739205</v>
      </c>
      <c r="BB65" s="541">
        <v>0</v>
      </c>
      <c r="BC65" s="541">
        <v>0</v>
      </c>
      <c r="BD65" s="541">
        <v>1844490.9483528053</v>
      </c>
      <c r="BE65" s="540">
        <v>1844490.9483528053</v>
      </c>
      <c r="BF65" s="540">
        <v>0</v>
      </c>
      <c r="BG65" s="541">
        <v>1743429</v>
      </c>
      <c r="BH65" s="541">
        <v>1594105</v>
      </c>
      <c r="BI65" s="540">
        <v>1695166.9483528053</v>
      </c>
      <c r="BJ65" s="540">
        <v>4829.5354653926079</v>
      </c>
      <c r="BK65" s="540">
        <v>4728.3239772727275</v>
      </c>
      <c r="BL65" s="542">
        <v>2.1405362366531126E-2</v>
      </c>
      <c r="BM65" s="542">
        <v>-1.3348472213686959E-2</v>
      </c>
      <c r="BN65" s="540">
        <v>-22153.681331005118</v>
      </c>
      <c r="BO65" s="541">
        <v>1822337.2670218002</v>
      </c>
      <c r="BP65" s="541">
        <v>5179.8098775549861</v>
      </c>
      <c r="BQ65" s="541" t="s">
        <v>771</v>
      </c>
      <c r="BR65" s="541">
        <v>5191.8440655891745</v>
      </c>
      <c r="BS65" s="542">
        <v>7.6877054708748283E-3</v>
      </c>
      <c r="BT65" s="540">
        <v>0</v>
      </c>
      <c r="BU65" s="540">
        <v>1822337.2670218002</v>
      </c>
      <c r="BV65" s="540">
        <v>0</v>
      </c>
      <c r="BW65" s="540">
        <v>1822337.2670218002</v>
      </c>
      <c r="BX65" s="540">
        <v>4224</v>
      </c>
      <c r="BY65" s="540">
        <v>1818113.2670218002</v>
      </c>
      <c r="CA65" s="10"/>
    </row>
    <row r="66" spans="1:79" ht="14.5" x14ac:dyDescent="0.35">
      <c r="A66" s="537">
        <v>146855</v>
      </c>
      <c r="B66" s="537">
        <v>8312464</v>
      </c>
      <c r="C66" s="538" t="s">
        <v>117</v>
      </c>
      <c r="D66" s="537">
        <v>146855</v>
      </c>
      <c r="E66" s="539">
        <v>199</v>
      </c>
      <c r="F66" s="539">
        <v>199</v>
      </c>
      <c r="G66" s="539">
        <v>0</v>
      </c>
      <c r="H66" s="540">
        <v>765553</v>
      </c>
      <c r="I66" s="540">
        <v>0</v>
      </c>
      <c r="J66" s="540">
        <v>0</v>
      </c>
      <c r="K66" s="540">
        <v>26234.999999999971</v>
      </c>
      <c r="L66" s="540">
        <v>0</v>
      </c>
      <c r="M66" s="540">
        <v>56179.999999999942</v>
      </c>
      <c r="N66" s="540">
        <v>0</v>
      </c>
      <c r="O66" s="540">
        <v>11280.000000000011</v>
      </c>
      <c r="P66" s="540">
        <v>18525.000000000011</v>
      </c>
      <c r="Q66" s="540">
        <v>1334.9999999999991</v>
      </c>
      <c r="R66" s="540">
        <v>21069.999999999975</v>
      </c>
      <c r="S66" s="540">
        <v>1559.9999999999989</v>
      </c>
      <c r="T66" s="540">
        <v>684.99999999999955</v>
      </c>
      <c r="U66" s="540">
        <v>0</v>
      </c>
      <c r="V66" s="540">
        <v>0</v>
      </c>
      <c r="W66" s="540">
        <v>0</v>
      </c>
      <c r="X66" s="540">
        <v>0</v>
      </c>
      <c r="Y66" s="540">
        <v>0</v>
      </c>
      <c r="Z66" s="540">
        <v>0</v>
      </c>
      <c r="AA66" s="540">
        <v>3422.1098265895903</v>
      </c>
      <c r="AB66" s="540">
        <v>0</v>
      </c>
      <c r="AC66" s="540">
        <v>56082.504743832986</v>
      </c>
      <c r="AD66" s="540">
        <v>0</v>
      </c>
      <c r="AE66" s="540">
        <v>0</v>
      </c>
      <c r="AF66" s="540">
        <v>0</v>
      </c>
      <c r="AG66" s="540">
        <v>145100</v>
      </c>
      <c r="AH66" s="540">
        <v>0</v>
      </c>
      <c r="AI66" s="540">
        <v>0</v>
      </c>
      <c r="AJ66" s="540">
        <v>0</v>
      </c>
      <c r="AK66" s="540">
        <v>4430</v>
      </c>
      <c r="AL66" s="540">
        <v>0</v>
      </c>
      <c r="AM66" s="540">
        <v>0</v>
      </c>
      <c r="AN66" s="540">
        <v>0</v>
      </c>
      <c r="AO66" s="540">
        <v>0</v>
      </c>
      <c r="AP66" s="540">
        <v>0</v>
      </c>
      <c r="AQ66" s="540">
        <v>0</v>
      </c>
      <c r="AR66" s="540">
        <v>0</v>
      </c>
      <c r="AS66" s="540">
        <v>0</v>
      </c>
      <c r="AT66" s="540">
        <v>765553</v>
      </c>
      <c r="AU66" s="540">
        <v>196374.61457042248</v>
      </c>
      <c r="AV66" s="540">
        <v>149530</v>
      </c>
      <c r="AW66" s="540">
        <v>159570.19776543521</v>
      </c>
      <c r="AX66" s="541">
        <v>1111457.6145704226</v>
      </c>
      <c r="AY66" s="541">
        <v>1107027.6145704226</v>
      </c>
      <c r="AZ66" s="541">
        <v>4955</v>
      </c>
      <c r="BA66" s="541">
        <v>986045</v>
      </c>
      <c r="BB66" s="541">
        <v>0</v>
      </c>
      <c r="BC66" s="541">
        <v>0</v>
      </c>
      <c r="BD66" s="541">
        <v>1111457.6145704226</v>
      </c>
      <c r="BE66" s="540">
        <v>1111457.6145704226</v>
      </c>
      <c r="BF66" s="540">
        <v>0</v>
      </c>
      <c r="BG66" s="541">
        <v>990475</v>
      </c>
      <c r="BH66" s="541">
        <v>840945</v>
      </c>
      <c r="BI66" s="540">
        <v>961927.61457042256</v>
      </c>
      <c r="BJ66" s="540">
        <v>4833.8071083940831</v>
      </c>
      <c r="BK66" s="540">
        <v>4847.3553500000007</v>
      </c>
      <c r="BL66" s="542">
        <v>-2.7949759461966426E-3</v>
      </c>
      <c r="BM66" s="542">
        <v>2.7949759461966426E-3</v>
      </c>
      <c r="BN66" s="540">
        <v>2696.1000795776044</v>
      </c>
      <c r="BO66" s="541">
        <v>1114153.7146500002</v>
      </c>
      <c r="BP66" s="541">
        <v>5576.5010786432167</v>
      </c>
      <c r="BQ66" s="541" t="s">
        <v>771</v>
      </c>
      <c r="BR66" s="541">
        <v>5598.7623851758808</v>
      </c>
      <c r="BS66" s="542">
        <v>7.8436566832174037E-4</v>
      </c>
      <c r="BT66" s="540">
        <v>0</v>
      </c>
      <c r="BU66" s="540">
        <v>1114153.7146500002</v>
      </c>
      <c r="BV66" s="540">
        <v>0</v>
      </c>
      <c r="BW66" s="540">
        <v>1114153.7146500002</v>
      </c>
      <c r="BX66" s="540">
        <v>4430</v>
      </c>
      <c r="BY66" s="540">
        <v>1109723.7146500002</v>
      </c>
      <c r="CA66" s="10"/>
    </row>
    <row r="67" spans="1:79" ht="14.5" x14ac:dyDescent="0.35">
      <c r="A67" s="537">
        <v>146839</v>
      </c>
      <c r="B67" s="537">
        <v>8312466</v>
      </c>
      <c r="C67" s="538" t="s">
        <v>118</v>
      </c>
      <c r="D67" s="537">
        <v>146839</v>
      </c>
      <c r="E67" s="539">
        <v>330</v>
      </c>
      <c r="F67" s="539">
        <v>330</v>
      </c>
      <c r="G67" s="539">
        <v>0</v>
      </c>
      <c r="H67" s="540">
        <v>1269510</v>
      </c>
      <c r="I67" s="540">
        <v>0</v>
      </c>
      <c r="J67" s="540">
        <v>0</v>
      </c>
      <c r="K67" s="540">
        <v>54944.999999999935</v>
      </c>
      <c r="L67" s="540">
        <v>0</v>
      </c>
      <c r="M67" s="540">
        <v>118719.99999999987</v>
      </c>
      <c r="N67" s="540">
        <v>0</v>
      </c>
      <c r="O67" s="540">
        <v>14805.000000000007</v>
      </c>
      <c r="P67" s="540">
        <v>10259.999999999993</v>
      </c>
      <c r="Q67" s="540">
        <v>2225.0000000000073</v>
      </c>
      <c r="R67" s="540">
        <v>18619.999999999975</v>
      </c>
      <c r="S67" s="540">
        <v>2079.9999999999964</v>
      </c>
      <c r="T67" s="540">
        <v>6165.0000000000064</v>
      </c>
      <c r="U67" s="540">
        <v>0</v>
      </c>
      <c r="V67" s="540">
        <v>0</v>
      </c>
      <c r="W67" s="540">
        <v>0</v>
      </c>
      <c r="X67" s="540">
        <v>0</v>
      </c>
      <c r="Y67" s="540">
        <v>0</v>
      </c>
      <c r="Z67" s="540">
        <v>0</v>
      </c>
      <c r="AA67" s="540">
        <v>4076.4705882352973</v>
      </c>
      <c r="AB67" s="540">
        <v>0</v>
      </c>
      <c r="AC67" s="540">
        <v>125641.34608547248</v>
      </c>
      <c r="AD67" s="540">
        <v>0</v>
      </c>
      <c r="AE67" s="540">
        <v>0</v>
      </c>
      <c r="AF67" s="540">
        <v>0</v>
      </c>
      <c r="AG67" s="540">
        <v>145100</v>
      </c>
      <c r="AH67" s="540">
        <v>0</v>
      </c>
      <c r="AI67" s="540">
        <v>0</v>
      </c>
      <c r="AJ67" s="540">
        <v>0</v>
      </c>
      <c r="AK67" s="540">
        <v>3985</v>
      </c>
      <c r="AL67" s="540">
        <v>0</v>
      </c>
      <c r="AM67" s="540">
        <v>0</v>
      </c>
      <c r="AN67" s="540">
        <v>0</v>
      </c>
      <c r="AO67" s="540">
        <v>0</v>
      </c>
      <c r="AP67" s="540">
        <v>0</v>
      </c>
      <c r="AQ67" s="540">
        <v>0</v>
      </c>
      <c r="AR67" s="540">
        <v>0</v>
      </c>
      <c r="AS67" s="540">
        <v>0</v>
      </c>
      <c r="AT67" s="540">
        <v>1269510</v>
      </c>
      <c r="AU67" s="540">
        <v>357537.81667370757</v>
      </c>
      <c r="AV67" s="540">
        <v>149085</v>
      </c>
      <c r="AW67" s="540">
        <v>274799.71058315306</v>
      </c>
      <c r="AX67" s="541">
        <v>1776132.8166737077</v>
      </c>
      <c r="AY67" s="541">
        <v>1772147.8166737077</v>
      </c>
      <c r="AZ67" s="541">
        <v>4955</v>
      </c>
      <c r="BA67" s="541">
        <v>1635150</v>
      </c>
      <c r="BB67" s="541">
        <v>0</v>
      </c>
      <c r="BC67" s="541">
        <v>0</v>
      </c>
      <c r="BD67" s="541">
        <v>1776132.8166737077</v>
      </c>
      <c r="BE67" s="540">
        <v>1776132.8166737074</v>
      </c>
      <c r="BF67" s="540">
        <v>0</v>
      </c>
      <c r="BG67" s="541">
        <v>1639135</v>
      </c>
      <c r="BH67" s="541">
        <v>1490050</v>
      </c>
      <c r="BI67" s="540">
        <v>1627047.8166737077</v>
      </c>
      <c r="BJ67" s="540">
        <v>4930.4479293142658</v>
      </c>
      <c r="BK67" s="540">
        <v>4834.414809384165</v>
      </c>
      <c r="BL67" s="542">
        <v>1.9864476615388756E-2</v>
      </c>
      <c r="BM67" s="542">
        <v>-1.2063373497234221E-2</v>
      </c>
      <c r="BN67" s="540">
        <v>-19245.385990433315</v>
      </c>
      <c r="BO67" s="541">
        <v>1756887.4306832743</v>
      </c>
      <c r="BP67" s="541">
        <v>5311.8255475250735</v>
      </c>
      <c r="BQ67" s="541" t="s">
        <v>771</v>
      </c>
      <c r="BR67" s="541">
        <v>5323.9013051008315</v>
      </c>
      <c r="BS67" s="542">
        <v>9.9813111014077638E-3</v>
      </c>
      <c r="BT67" s="540">
        <v>0</v>
      </c>
      <c r="BU67" s="540">
        <v>1756887.4306832743</v>
      </c>
      <c r="BV67" s="540">
        <v>0</v>
      </c>
      <c r="BW67" s="540">
        <v>1756887.4306832743</v>
      </c>
      <c r="BX67" s="540">
        <v>3985</v>
      </c>
      <c r="BY67" s="540">
        <v>1752902.4306832743</v>
      </c>
      <c r="CA67" s="10"/>
    </row>
    <row r="68" spans="1:79" ht="14.5" x14ac:dyDescent="0.35">
      <c r="A68" s="537">
        <v>145592</v>
      </c>
      <c r="B68" s="537">
        <v>8312467</v>
      </c>
      <c r="C68" s="538" t="s">
        <v>119</v>
      </c>
      <c r="D68" s="537">
        <v>145592</v>
      </c>
      <c r="E68" s="539">
        <v>210</v>
      </c>
      <c r="F68" s="539">
        <v>210</v>
      </c>
      <c r="G68" s="539">
        <v>0</v>
      </c>
      <c r="H68" s="540">
        <v>807870</v>
      </c>
      <c r="I68" s="540">
        <v>0</v>
      </c>
      <c r="J68" s="540">
        <v>0</v>
      </c>
      <c r="K68" s="540">
        <v>37124.999999999985</v>
      </c>
      <c r="L68" s="540">
        <v>0</v>
      </c>
      <c r="M68" s="540">
        <v>80560.000000000029</v>
      </c>
      <c r="N68" s="540">
        <v>0</v>
      </c>
      <c r="O68" s="540">
        <v>4935</v>
      </c>
      <c r="P68" s="540">
        <v>13395.000000000013</v>
      </c>
      <c r="Q68" s="540">
        <v>27589.999999999982</v>
      </c>
      <c r="R68" s="540">
        <v>1959.9999999999952</v>
      </c>
      <c r="S68" s="540">
        <v>1560.0000000000014</v>
      </c>
      <c r="T68" s="540">
        <v>2055.0000000000018</v>
      </c>
      <c r="U68" s="540">
        <v>0</v>
      </c>
      <c r="V68" s="540">
        <v>0</v>
      </c>
      <c r="W68" s="540">
        <v>0</v>
      </c>
      <c r="X68" s="540">
        <v>0</v>
      </c>
      <c r="Y68" s="540">
        <v>0</v>
      </c>
      <c r="Z68" s="540">
        <v>0</v>
      </c>
      <c r="AA68" s="540">
        <v>7850.2617801047045</v>
      </c>
      <c r="AB68" s="540">
        <v>0</v>
      </c>
      <c r="AC68" s="540">
        <v>70571.501014198831</v>
      </c>
      <c r="AD68" s="540">
        <v>0</v>
      </c>
      <c r="AE68" s="540">
        <v>385.99999999999949</v>
      </c>
      <c r="AF68" s="540">
        <v>0</v>
      </c>
      <c r="AG68" s="540">
        <v>145100</v>
      </c>
      <c r="AH68" s="540">
        <v>0</v>
      </c>
      <c r="AI68" s="540">
        <v>0</v>
      </c>
      <c r="AJ68" s="540">
        <v>0</v>
      </c>
      <c r="AK68" s="540">
        <v>3478</v>
      </c>
      <c r="AL68" s="540">
        <v>0</v>
      </c>
      <c r="AM68" s="540">
        <v>0</v>
      </c>
      <c r="AN68" s="540">
        <v>0</v>
      </c>
      <c r="AO68" s="540">
        <v>0</v>
      </c>
      <c r="AP68" s="540">
        <v>0</v>
      </c>
      <c r="AQ68" s="540">
        <v>0</v>
      </c>
      <c r="AR68" s="540">
        <v>0</v>
      </c>
      <c r="AS68" s="540">
        <v>0</v>
      </c>
      <c r="AT68" s="540">
        <v>807870</v>
      </c>
      <c r="AU68" s="540">
        <v>247987.76279430353</v>
      </c>
      <c r="AV68" s="540">
        <v>148578</v>
      </c>
      <c r="AW68" s="540">
        <v>182869.68892001105</v>
      </c>
      <c r="AX68" s="541">
        <v>1204435.7627943035</v>
      </c>
      <c r="AY68" s="541">
        <v>1200957.7627943035</v>
      </c>
      <c r="AZ68" s="541">
        <v>4955</v>
      </c>
      <c r="BA68" s="541">
        <v>1040550</v>
      </c>
      <c r="BB68" s="541">
        <v>0</v>
      </c>
      <c r="BC68" s="541">
        <v>0</v>
      </c>
      <c r="BD68" s="541">
        <v>1204435.7627943035</v>
      </c>
      <c r="BE68" s="540">
        <v>1204435.7627943035</v>
      </c>
      <c r="BF68" s="540">
        <v>0</v>
      </c>
      <c r="BG68" s="541">
        <v>1044028</v>
      </c>
      <c r="BH68" s="541">
        <v>895450</v>
      </c>
      <c r="BI68" s="540">
        <v>1055857.7627943035</v>
      </c>
      <c r="BJ68" s="540">
        <v>5027.8941085443021</v>
      </c>
      <c r="BK68" s="540">
        <v>4976.4093902439026</v>
      </c>
      <c r="BL68" s="542">
        <v>1.0345756199506746E-2</v>
      </c>
      <c r="BM68" s="542">
        <v>-4.1247606703886256E-3</v>
      </c>
      <c r="BN68" s="540">
        <v>-4310.5645238524448</v>
      </c>
      <c r="BO68" s="541">
        <v>1200125.198270451</v>
      </c>
      <c r="BP68" s="541">
        <v>5698.3199917640522</v>
      </c>
      <c r="BQ68" s="541" t="s">
        <v>771</v>
      </c>
      <c r="BR68" s="541">
        <v>5714.881896525957</v>
      </c>
      <c r="BS68" s="542">
        <v>2.4170510153425973E-2</v>
      </c>
      <c r="BT68" s="540">
        <v>0</v>
      </c>
      <c r="BU68" s="540">
        <v>1200125.198270451</v>
      </c>
      <c r="BV68" s="540">
        <v>0</v>
      </c>
      <c r="BW68" s="540">
        <v>1200125.198270451</v>
      </c>
      <c r="BX68" s="540">
        <v>3478</v>
      </c>
      <c r="BY68" s="540">
        <v>1196647.198270451</v>
      </c>
      <c r="CA68" s="10"/>
    </row>
    <row r="69" spans="1:79" ht="14.5" x14ac:dyDescent="0.35">
      <c r="A69" s="537">
        <v>146938</v>
      </c>
      <c r="B69" s="537">
        <v>8312471</v>
      </c>
      <c r="C69" s="538" t="s">
        <v>120</v>
      </c>
      <c r="D69" s="537">
        <v>146938</v>
      </c>
      <c r="E69" s="539">
        <v>345</v>
      </c>
      <c r="F69" s="539">
        <v>345</v>
      </c>
      <c r="G69" s="539">
        <v>0</v>
      </c>
      <c r="H69" s="540">
        <v>1327215</v>
      </c>
      <c r="I69" s="540">
        <v>0</v>
      </c>
      <c r="J69" s="540">
        <v>0</v>
      </c>
      <c r="K69" s="540">
        <v>83654.999999999985</v>
      </c>
      <c r="L69" s="540">
        <v>0</v>
      </c>
      <c r="M69" s="540">
        <v>181260.00000000017</v>
      </c>
      <c r="N69" s="540">
        <v>0</v>
      </c>
      <c r="O69" s="540">
        <v>2349.9999999999991</v>
      </c>
      <c r="P69" s="540">
        <v>20234.999999999964</v>
      </c>
      <c r="Q69" s="540">
        <v>0</v>
      </c>
      <c r="R69" s="540">
        <v>13230.000000000002</v>
      </c>
      <c r="S69" s="540">
        <v>14040.000000000002</v>
      </c>
      <c r="T69" s="540">
        <v>31509.999999999924</v>
      </c>
      <c r="U69" s="540">
        <v>0</v>
      </c>
      <c r="V69" s="540">
        <v>0</v>
      </c>
      <c r="W69" s="540">
        <v>0</v>
      </c>
      <c r="X69" s="540">
        <v>0</v>
      </c>
      <c r="Y69" s="540">
        <v>0</v>
      </c>
      <c r="Z69" s="540">
        <v>0</v>
      </c>
      <c r="AA69" s="540">
        <v>5949.9999999999982</v>
      </c>
      <c r="AB69" s="540">
        <v>0</v>
      </c>
      <c r="AC69" s="540">
        <v>138504.55701568467</v>
      </c>
      <c r="AD69" s="540">
        <v>0</v>
      </c>
      <c r="AE69" s="540">
        <v>0</v>
      </c>
      <c r="AF69" s="540">
        <v>0</v>
      </c>
      <c r="AG69" s="540">
        <v>145100</v>
      </c>
      <c r="AH69" s="540">
        <v>0</v>
      </c>
      <c r="AI69" s="540">
        <v>0</v>
      </c>
      <c r="AJ69" s="540">
        <v>0</v>
      </c>
      <c r="AK69" s="540">
        <v>4956</v>
      </c>
      <c r="AL69" s="540">
        <v>0</v>
      </c>
      <c r="AM69" s="540">
        <v>0</v>
      </c>
      <c r="AN69" s="540">
        <v>0</v>
      </c>
      <c r="AO69" s="540">
        <v>0</v>
      </c>
      <c r="AP69" s="540">
        <v>0</v>
      </c>
      <c r="AQ69" s="540">
        <v>0</v>
      </c>
      <c r="AR69" s="540">
        <v>0</v>
      </c>
      <c r="AS69" s="540">
        <v>0</v>
      </c>
      <c r="AT69" s="540">
        <v>1327215</v>
      </c>
      <c r="AU69" s="540">
        <v>490734.55701568472</v>
      </c>
      <c r="AV69" s="540">
        <v>150056</v>
      </c>
      <c r="AW69" s="540">
        <v>328380.19463755825</v>
      </c>
      <c r="AX69" s="541">
        <v>1968005.5570156847</v>
      </c>
      <c r="AY69" s="541">
        <v>1963049.5570156847</v>
      </c>
      <c r="AZ69" s="541">
        <v>4955</v>
      </c>
      <c r="BA69" s="541">
        <v>1709475</v>
      </c>
      <c r="BB69" s="541">
        <v>0</v>
      </c>
      <c r="BC69" s="541">
        <v>0</v>
      </c>
      <c r="BD69" s="541">
        <v>1968005.5570156847</v>
      </c>
      <c r="BE69" s="540">
        <v>1968005.5570156849</v>
      </c>
      <c r="BF69" s="540">
        <v>0</v>
      </c>
      <c r="BG69" s="541">
        <v>1714431</v>
      </c>
      <c r="BH69" s="541">
        <v>1564375</v>
      </c>
      <c r="BI69" s="540">
        <v>1817949.5570156847</v>
      </c>
      <c r="BJ69" s="540">
        <v>5269.4190058425638</v>
      </c>
      <c r="BK69" s="540">
        <v>5104.0972957746471</v>
      </c>
      <c r="BL69" s="542">
        <v>3.2389999737030065E-2</v>
      </c>
      <c r="BM69" s="542">
        <v>-2.2509659780683072E-2</v>
      </c>
      <c r="BN69" s="540">
        <v>-39637.565297310175</v>
      </c>
      <c r="BO69" s="541">
        <v>1928367.9917183744</v>
      </c>
      <c r="BP69" s="541">
        <v>5575.1072223720994</v>
      </c>
      <c r="BQ69" s="541" t="s">
        <v>771</v>
      </c>
      <c r="BR69" s="541">
        <v>5589.4724397634045</v>
      </c>
      <c r="BS69" s="542">
        <v>1.1341723298131878E-2</v>
      </c>
      <c r="BT69" s="540">
        <v>0</v>
      </c>
      <c r="BU69" s="540">
        <v>1928367.9917183744</v>
      </c>
      <c r="BV69" s="540">
        <v>0</v>
      </c>
      <c r="BW69" s="540">
        <v>1928367.9917183744</v>
      </c>
      <c r="BX69" s="540">
        <v>4956</v>
      </c>
      <c r="BY69" s="540">
        <v>1923411.9917183744</v>
      </c>
      <c r="CA69" s="10"/>
    </row>
    <row r="70" spans="1:79" ht="14.5" x14ac:dyDescent="0.35">
      <c r="A70" s="537">
        <v>145806</v>
      </c>
      <c r="B70" s="537">
        <v>8312509</v>
      </c>
      <c r="C70" s="538" t="s">
        <v>121</v>
      </c>
      <c r="D70" s="537">
        <v>145806</v>
      </c>
      <c r="E70" s="539">
        <v>179</v>
      </c>
      <c r="F70" s="539">
        <v>179</v>
      </c>
      <c r="G70" s="539">
        <v>0</v>
      </c>
      <c r="H70" s="540">
        <v>688613</v>
      </c>
      <c r="I70" s="540">
        <v>0</v>
      </c>
      <c r="J70" s="540">
        <v>0</v>
      </c>
      <c r="K70" s="540">
        <v>40590.000000000015</v>
      </c>
      <c r="L70" s="540">
        <v>0</v>
      </c>
      <c r="M70" s="540">
        <v>87980.000000000029</v>
      </c>
      <c r="N70" s="540">
        <v>0</v>
      </c>
      <c r="O70" s="540">
        <v>940</v>
      </c>
      <c r="P70" s="540">
        <v>5414.9999999999982</v>
      </c>
      <c r="Q70" s="540">
        <v>3114.9999999999959</v>
      </c>
      <c r="R70" s="540">
        <v>14699.999999999958</v>
      </c>
      <c r="S70" s="540">
        <v>6240</v>
      </c>
      <c r="T70" s="540">
        <v>685</v>
      </c>
      <c r="U70" s="540">
        <v>0</v>
      </c>
      <c r="V70" s="540">
        <v>0</v>
      </c>
      <c r="W70" s="540">
        <v>0</v>
      </c>
      <c r="X70" s="540">
        <v>0</v>
      </c>
      <c r="Y70" s="540">
        <v>0</v>
      </c>
      <c r="Z70" s="540">
        <v>0</v>
      </c>
      <c r="AA70" s="540">
        <v>47107.980769230744</v>
      </c>
      <c r="AB70" s="540">
        <v>0</v>
      </c>
      <c r="AC70" s="540">
        <v>74225.758027091404</v>
      </c>
      <c r="AD70" s="540">
        <v>0</v>
      </c>
      <c r="AE70" s="540">
        <v>18585.899999999914</v>
      </c>
      <c r="AF70" s="540">
        <v>0</v>
      </c>
      <c r="AG70" s="540">
        <v>145100</v>
      </c>
      <c r="AH70" s="540">
        <v>0</v>
      </c>
      <c r="AI70" s="540">
        <v>0</v>
      </c>
      <c r="AJ70" s="540">
        <v>0</v>
      </c>
      <c r="AK70" s="540">
        <v>3661</v>
      </c>
      <c r="AL70" s="540">
        <v>0</v>
      </c>
      <c r="AM70" s="540">
        <v>0</v>
      </c>
      <c r="AN70" s="540">
        <v>0</v>
      </c>
      <c r="AO70" s="540">
        <v>0</v>
      </c>
      <c r="AP70" s="540">
        <v>0</v>
      </c>
      <c r="AQ70" s="540">
        <v>0</v>
      </c>
      <c r="AR70" s="540">
        <v>0</v>
      </c>
      <c r="AS70" s="540">
        <v>0</v>
      </c>
      <c r="AT70" s="540">
        <v>688613</v>
      </c>
      <c r="AU70" s="540">
        <v>299584.63879632205</v>
      </c>
      <c r="AV70" s="540">
        <v>148761</v>
      </c>
      <c r="AW70" s="540">
        <v>200305.92576181379</v>
      </c>
      <c r="AX70" s="541">
        <v>1136958.638796322</v>
      </c>
      <c r="AY70" s="541">
        <v>1133297.638796322</v>
      </c>
      <c r="AZ70" s="541">
        <v>4955</v>
      </c>
      <c r="BA70" s="541">
        <v>886945</v>
      </c>
      <c r="BB70" s="541">
        <v>0</v>
      </c>
      <c r="BC70" s="541">
        <v>0</v>
      </c>
      <c r="BD70" s="541">
        <v>1136958.638796322</v>
      </c>
      <c r="BE70" s="540">
        <v>1136958.638796322</v>
      </c>
      <c r="BF70" s="540">
        <v>0</v>
      </c>
      <c r="BG70" s="541">
        <v>890606</v>
      </c>
      <c r="BH70" s="541">
        <v>741845</v>
      </c>
      <c r="BI70" s="540">
        <v>988197.63879632205</v>
      </c>
      <c r="BJ70" s="540">
        <v>5520.6571999794523</v>
      </c>
      <c r="BK70" s="540">
        <v>5385.088216560509</v>
      </c>
      <c r="BL70" s="542">
        <v>2.5174886272435512E-2</v>
      </c>
      <c r="BM70" s="542">
        <v>-1.6492255151211214E-2</v>
      </c>
      <c r="BN70" s="540">
        <v>-15897.392549394139</v>
      </c>
      <c r="BO70" s="541">
        <v>1121061.2462469279</v>
      </c>
      <c r="BP70" s="541">
        <v>6242.459476239821</v>
      </c>
      <c r="BQ70" s="541" t="s">
        <v>771</v>
      </c>
      <c r="BR70" s="541">
        <v>6262.9119902063012</v>
      </c>
      <c r="BS70" s="542">
        <v>-1.0913616481290189E-2</v>
      </c>
      <c r="BT70" s="540">
        <v>0</v>
      </c>
      <c r="BU70" s="540">
        <v>1121061.2462469279</v>
      </c>
      <c r="BV70" s="540">
        <v>0</v>
      </c>
      <c r="BW70" s="540">
        <v>1121061.2462469279</v>
      </c>
      <c r="BX70" s="540">
        <v>3661</v>
      </c>
      <c r="BY70" s="540">
        <v>1117400.2462469279</v>
      </c>
      <c r="CA70" s="10"/>
    </row>
    <row r="71" spans="1:79" ht="14.5" x14ac:dyDescent="0.35">
      <c r="A71" s="537">
        <v>147119</v>
      </c>
      <c r="B71" s="537">
        <v>8312512</v>
      </c>
      <c r="C71" s="538" t="s">
        <v>122</v>
      </c>
      <c r="D71" s="537">
        <v>147119</v>
      </c>
      <c r="E71" s="539">
        <v>213</v>
      </c>
      <c r="F71" s="539">
        <v>213</v>
      </c>
      <c r="G71" s="539">
        <v>0</v>
      </c>
      <c r="H71" s="540">
        <v>819411</v>
      </c>
      <c r="I71" s="540">
        <v>0</v>
      </c>
      <c r="J71" s="540">
        <v>0</v>
      </c>
      <c r="K71" s="540">
        <v>20789.999999999967</v>
      </c>
      <c r="L71" s="540">
        <v>0</v>
      </c>
      <c r="M71" s="540">
        <v>44519.999999999935</v>
      </c>
      <c r="N71" s="540">
        <v>0</v>
      </c>
      <c r="O71" s="540">
        <v>12219.999999999998</v>
      </c>
      <c r="P71" s="540">
        <v>284.99999999999983</v>
      </c>
      <c r="Q71" s="540">
        <v>0</v>
      </c>
      <c r="R71" s="540">
        <v>0</v>
      </c>
      <c r="S71" s="540">
        <v>0</v>
      </c>
      <c r="T71" s="540">
        <v>0</v>
      </c>
      <c r="U71" s="540">
        <v>0</v>
      </c>
      <c r="V71" s="540">
        <v>0</v>
      </c>
      <c r="W71" s="540">
        <v>0</v>
      </c>
      <c r="X71" s="540">
        <v>0</v>
      </c>
      <c r="Y71" s="540">
        <v>0</v>
      </c>
      <c r="Z71" s="540">
        <v>0</v>
      </c>
      <c r="AA71" s="540">
        <v>22783.820224719053</v>
      </c>
      <c r="AB71" s="540">
        <v>0</v>
      </c>
      <c r="AC71" s="540">
        <v>72173.81226053639</v>
      </c>
      <c r="AD71" s="540">
        <v>0</v>
      </c>
      <c r="AE71" s="540">
        <v>0</v>
      </c>
      <c r="AF71" s="540">
        <v>0</v>
      </c>
      <c r="AG71" s="540">
        <v>145100</v>
      </c>
      <c r="AH71" s="540">
        <v>0</v>
      </c>
      <c r="AI71" s="540">
        <v>0</v>
      </c>
      <c r="AJ71" s="540">
        <v>0</v>
      </c>
      <c r="AK71" s="540">
        <v>6125</v>
      </c>
      <c r="AL71" s="540">
        <v>0</v>
      </c>
      <c r="AM71" s="540">
        <v>0</v>
      </c>
      <c r="AN71" s="540">
        <v>0</v>
      </c>
      <c r="AO71" s="540">
        <v>0</v>
      </c>
      <c r="AP71" s="540">
        <v>0</v>
      </c>
      <c r="AQ71" s="540">
        <v>0</v>
      </c>
      <c r="AR71" s="540">
        <v>0</v>
      </c>
      <c r="AS71" s="540">
        <v>0</v>
      </c>
      <c r="AT71" s="540">
        <v>819411</v>
      </c>
      <c r="AU71" s="540">
        <v>172772.63248525534</v>
      </c>
      <c r="AV71" s="540">
        <v>151225</v>
      </c>
      <c r="AW71" s="540">
        <v>158160.08195402293</v>
      </c>
      <c r="AX71" s="541">
        <v>1143408.6324852554</v>
      </c>
      <c r="AY71" s="541">
        <v>1137283.6324852554</v>
      </c>
      <c r="AZ71" s="541">
        <v>4955</v>
      </c>
      <c r="BA71" s="541">
        <v>1055415</v>
      </c>
      <c r="BB71" s="541">
        <v>0</v>
      </c>
      <c r="BC71" s="541">
        <v>0</v>
      </c>
      <c r="BD71" s="541">
        <v>1143408.6324852554</v>
      </c>
      <c r="BE71" s="540">
        <v>1143408.6324852551</v>
      </c>
      <c r="BF71" s="540">
        <v>0</v>
      </c>
      <c r="BG71" s="541">
        <v>1061540</v>
      </c>
      <c r="BH71" s="541">
        <v>910315</v>
      </c>
      <c r="BI71" s="540">
        <v>992183.63248525537</v>
      </c>
      <c r="BJ71" s="540">
        <v>4658.1391196490858</v>
      </c>
      <c r="BK71" s="540">
        <v>4511.5944859813089</v>
      </c>
      <c r="BL71" s="542">
        <v>3.2481783130804194E-2</v>
      </c>
      <c r="BM71" s="542">
        <v>-2.2586207131090694E-2</v>
      </c>
      <c r="BN71" s="540">
        <v>-21704.659008546285</v>
      </c>
      <c r="BO71" s="541">
        <v>1121703.9734767091</v>
      </c>
      <c r="BP71" s="541">
        <v>5237.4599693742211</v>
      </c>
      <c r="BQ71" s="541" t="s">
        <v>771</v>
      </c>
      <c r="BR71" s="541">
        <v>5266.2158379188222</v>
      </c>
      <c r="BS71" s="542">
        <v>9.1909272595049885E-3</v>
      </c>
      <c r="BT71" s="540">
        <v>0</v>
      </c>
      <c r="BU71" s="540">
        <v>1121703.9734767091</v>
      </c>
      <c r="BV71" s="540">
        <v>0</v>
      </c>
      <c r="BW71" s="540">
        <v>1121703.9734767091</v>
      </c>
      <c r="BX71" s="540">
        <v>6125</v>
      </c>
      <c r="BY71" s="540">
        <v>1115578.9734767091</v>
      </c>
      <c r="CA71" s="10"/>
    </row>
    <row r="72" spans="1:79" ht="14.5" x14ac:dyDescent="0.35">
      <c r="A72" s="537">
        <v>147624</v>
      </c>
      <c r="B72" s="537">
        <v>8312522</v>
      </c>
      <c r="C72" s="538" t="s">
        <v>123</v>
      </c>
      <c r="D72" s="537">
        <v>147624</v>
      </c>
      <c r="E72" s="539">
        <v>429</v>
      </c>
      <c r="F72" s="539">
        <v>429</v>
      </c>
      <c r="G72" s="539">
        <v>0</v>
      </c>
      <c r="H72" s="540">
        <v>1650363</v>
      </c>
      <c r="I72" s="540">
        <v>0</v>
      </c>
      <c r="J72" s="540">
        <v>0</v>
      </c>
      <c r="K72" s="540">
        <v>16334.999999999996</v>
      </c>
      <c r="L72" s="540">
        <v>0</v>
      </c>
      <c r="M72" s="540">
        <v>41339.999999999993</v>
      </c>
      <c r="N72" s="540">
        <v>0</v>
      </c>
      <c r="O72" s="540">
        <v>5875.0000000000027</v>
      </c>
      <c r="P72" s="540">
        <v>2279.9999999999941</v>
      </c>
      <c r="Q72" s="540">
        <v>1334.9999999999993</v>
      </c>
      <c r="R72" s="540">
        <v>1959.9999999999993</v>
      </c>
      <c r="S72" s="540">
        <v>1559.9999999999993</v>
      </c>
      <c r="T72" s="540">
        <v>2054.9999999999991</v>
      </c>
      <c r="U72" s="540">
        <v>0</v>
      </c>
      <c r="V72" s="540">
        <v>0</v>
      </c>
      <c r="W72" s="540">
        <v>0</v>
      </c>
      <c r="X72" s="540">
        <v>0</v>
      </c>
      <c r="Y72" s="540">
        <v>0</v>
      </c>
      <c r="Z72" s="540">
        <v>0</v>
      </c>
      <c r="AA72" s="540">
        <v>8968.418918918911</v>
      </c>
      <c r="AB72" s="540">
        <v>0</v>
      </c>
      <c r="AC72" s="540">
        <v>93434.62577467032</v>
      </c>
      <c r="AD72" s="540">
        <v>0</v>
      </c>
      <c r="AE72" s="540">
        <v>0</v>
      </c>
      <c r="AF72" s="540">
        <v>0</v>
      </c>
      <c r="AG72" s="540">
        <v>145100</v>
      </c>
      <c r="AH72" s="540">
        <v>0</v>
      </c>
      <c r="AI72" s="540">
        <v>0</v>
      </c>
      <c r="AJ72" s="540">
        <v>0</v>
      </c>
      <c r="AK72" s="540">
        <v>5863</v>
      </c>
      <c r="AL72" s="540">
        <v>0</v>
      </c>
      <c r="AM72" s="540">
        <v>0</v>
      </c>
      <c r="AN72" s="540">
        <v>0</v>
      </c>
      <c r="AO72" s="540">
        <v>0</v>
      </c>
      <c r="AP72" s="540">
        <v>0</v>
      </c>
      <c r="AQ72" s="540">
        <v>0</v>
      </c>
      <c r="AR72" s="540">
        <v>0</v>
      </c>
      <c r="AS72" s="540">
        <v>0</v>
      </c>
      <c r="AT72" s="540">
        <v>1650363</v>
      </c>
      <c r="AU72" s="540">
        <v>175143.04469358921</v>
      </c>
      <c r="AV72" s="540">
        <v>150963</v>
      </c>
      <c r="AW72" s="540">
        <v>257408.9285893582</v>
      </c>
      <c r="AX72" s="541">
        <v>1976469.0446935892</v>
      </c>
      <c r="AY72" s="541">
        <v>1970606.0446935892</v>
      </c>
      <c r="AZ72" s="541">
        <v>4955</v>
      </c>
      <c r="BA72" s="541">
        <v>2125695</v>
      </c>
      <c r="BB72" s="541">
        <v>155088.95530641079</v>
      </c>
      <c r="BC72" s="541">
        <v>0</v>
      </c>
      <c r="BD72" s="541">
        <v>2131558</v>
      </c>
      <c r="BE72" s="540">
        <v>2131558</v>
      </c>
      <c r="BF72" s="540">
        <v>0</v>
      </c>
      <c r="BG72" s="541">
        <v>2131558</v>
      </c>
      <c r="BH72" s="541">
        <v>1980595</v>
      </c>
      <c r="BI72" s="540">
        <v>1980595</v>
      </c>
      <c r="BJ72" s="540">
        <v>4616.7715617715621</v>
      </c>
      <c r="BK72" s="540">
        <v>4575.734265734266</v>
      </c>
      <c r="BL72" s="542">
        <v>8.9684613777961247E-3</v>
      </c>
      <c r="BM72" s="542">
        <v>-2.9760967890819679E-3</v>
      </c>
      <c r="BN72" s="540">
        <v>0</v>
      </c>
      <c r="BO72" s="541">
        <v>2131558</v>
      </c>
      <c r="BP72" s="541">
        <v>4955</v>
      </c>
      <c r="BQ72" s="541" t="s">
        <v>771</v>
      </c>
      <c r="BR72" s="541">
        <v>4968.666666666667</v>
      </c>
      <c r="BS72" s="542">
        <v>8.3279043263586594E-3</v>
      </c>
      <c r="BT72" s="540">
        <v>0</v>
      </c>
      <c r="BU72" s="540">
        <v>2131558</v>
      </c>
      <c r="BV72" s="540">
        <v>0</v>
      </c>
      <c r="BW72" s="540">
        <v>2131558</v>
      </c>
      <c r="BX72" s="540">
        <v>5863</v>
      </c>
      <c r="BY72" s="540">
        <v>2125695</v>
      </c>
      <c r="CA72" s="10"/>
    </row>
    <row r="73" spans="1:79" ht="14.5" x14ac:dyDescent="0.35">
      <c r="A73" s="537">
        <v>146715</v>
      </c>
      <c r="B73" s="537">
        <v>8312629</v>
      </c>
      <c r="C73" s="538" t="s">
        <v>124</v>
      </c>
      <c r="D73" s="537">
        <v>146715</v>
      </c>
      <c r="E73" s="539">
        <v>537</v>
      </c>
      <c r="F73" s="539">
        <v>537</v>
      </c>
      <c r="G73" s="539">
        <v>0</v>
      </c>
      <c r="H73" s="540">
        <v>2065839</v>
      </c>
      <c r="I73" s="540">
        <v>0</v>
      </c>
      <c r="J73" s="540">
        <v>0</v>
      </c>
      <c r="K73" s="540">
        <v>157410.00000000012</v>
      </c>
      <c r="L73" s="540">
        <v>0</v>
      </c>
      <c r="M73" s="540">
        <v>337080.00000000023</v>
      </c>
      <c r="N73" s="540">
        <v>0</v>
      </c>
      <c r="O73" s="540">
        <v>14335.000000000045</v>
      </c>
      <c r="P73" s="540">
        <v>11684.999999999993</v>
      </c>
      <c r="Q73" s="540">
        <v>104129.99999999999</v>
      </c>
      <c r="R73" s="540">
        <v>73499.999999999869</v>
      </c>
      <c r="S73" s="540">
        <v>4160</v>
      </c>
      <c r="T73" s="540">
        <v>4794.9999999999818</v>
      </c>
      <c r="U73" s="540">
        <v>0</v>
      </c>
      <c r="V73" s="540">
        <v>0</v>
      </c>
      <c r="W73" s="540">
        <v>0</v>
      </c>
      <c r="X73" s="540">
        <v>0</v>
      </c>
      <c r="Y73" s="540">
        <v>0</v>
      </c>
      <c r="Z73" s="540">
        <v>0</v>
      </c>
      <c r="AA73" s="540">
        <v>159410.95444685451</v>
      </c>
      <c r="AB73" s="540">
        <v>0</v>
      </c>
      <c r="AC73" s="540">
        <v>281932.15816724458</v>
      </c>
      <c r="AD73" s="540">
        <v>0</v>
      </c>
      <c r="AE73" s="540">
        <v>0</v>
      </c>
      <c r="AF73" s="540">
        <v>0</v>
      </c>
      <c r="AG73" s="540">
        <v>145100</v>
      </c>
      <c r="AH73" s="540">
        <v>0</v>
      </c>
      <c r="AI73" s="540">
        <v>0</v>
      </c>
      <c r="AJ73" s="540">
        <v>0</v>
      </c>
      <c r="AK73" s="540">
        <v>15588</v>
      </c>
      <c r="AL73" s="540">
        <v>0</v>
      </c>
      <c r="AM73" s="540">
        <v>0</v>
      </c>
      <c r="AN73" s="540">
        <v>0</v>
      </c>
      <c r="AO73" s="540">
        <v>0</v>
      </c>
      <c r="AP73" s="540">
        <v>0</v>
      </c>
      <c r="AQ73" s="540">
        <v>0</v>
      </c>
      <c r="AR73" s="540">
        <v>0</v>
      </c>
      <c r="AS73" s="540">
        <v>0</v>
      </c>
      <c r="AT73" s="540">
        <v>2065839</v>
      </c>
      <c r="AU73" s="540">
        <v>1148438.1126140994</v>
      </c>
      <c r="AV73" s="540">
        <v>160688</v>
      </c>
      <c r="AW73" s="540">
        <v>651918.87576490175</v>
      </c>
      <c r="AX73" s="541">
        <v>3374965.1126140994</v>
      </c>
      <c r="AY73" s="541">
        <v>3359377.1126140994</v>
      </c>
      <c r="AZ73" s="541">
        <v>4955</v>
      </c>
      <c r="BA73" s="541">
        <v>2660835</v>
      </c>
      <c r="BB73" s="541">
        <v>0</v>
      </c>
      <c r="BC73" s="541">
        <v>0</v>
      </c>
      <c r="BD73" s="541">
        <v>3374965.1126140994</v>
      </c>
      <c r="BE73" s="540">
        <v>3374965.1126140989</v>
      </c>
      <c r="BF73" s="540">
        <v>0</v>
      </c>
      <c r="BG73" s="541">
        <v>2676423</v>
      </c>
      <c r="BH73" s="541">
        <v>2515735</v>
      </c>
      <c r="BI73" s="540">
        <v>3214277.1126140994</v>
      </c>
      <c r="BJ73" s="540">
        <v>5985.6184592441332</v>
      </c>
      <c r="BK73" s="540">
        <v>5592.1075234521577</v>
      </c>
      <c r="BL73" s="542">
        <v>7.0368985957739716E-2</v>
      </c>
      <c r="BM73" s="542">
        <v>-5.4184134288754918E-2</v>
      </c>
      <c r="BN73" s="540">
        <v>-162712.88218923609</v>
      </c>
      <c r="BO73" s="541">
        <v>3212252.2304248633</v>
      </c>
      <c r="BP73" s="541">
        <v>5952.8197959494664</v>
      </c>
      <c r="BQ73" s="541" t="s">
        <v>771</v>
      </c>
      <c r="BR73" s="541">
        <v>5981.8477289103603</v>
      </c>
      <c r="BS73" s="542">
        <v>1.4975969313749893E-2</v>
      </c>
      <c r="BT73" s="540">
        <v>0</v>
      </c>
      <c r="BU73" s="540">
        <v>3212252.2304248633</v>
      </c>
      <c r="BV73" s="540">
        <v>0</v>
      </c>
      <c r="BW73" s="540">
        <v>3212252.2304248633</v>
      </c>
      <c r="BX73" s="540">
        <v>15588</v>
      </c>
      <c r="BY73" s="540">
        <v>3196664.2304248633</v>
      </c>
      <c r="CA73" s="10"/>
    </row>
    <row r="74" spans="1:79" ht="14.5" x14ac:dyDescent="0.35">
      <c r="A74" s="537">
        <v>146575</v>
      </c>
      <c r="B74" s="537">
        <v>8313158</v>
      </c>
      <c r="C74" s="538" t="s">
        <v>125</v>
      </c>
      <c r="D74" s="537">
        <v>146575</v>
      </c>
      <c r="E74" s="539">
        <v>117</v>
      </c>
      <c r="F74" s="539">
        <v>117</v>
      </c>
      <c r="G74" s="539">
        <v>0</v>
      </c>
      <c r="H74" s="540">
        <v>450099</v>
      </c>
      <c r="I74" s="540">
        <v>0</v>
      </c>
      <c r="J74" s="540">
        <v>0</v>
      </c>
      <c r="K74" s="540">
        <v>37620.000000000029</v>
      </c>
      <c r="L74" s="540">
        <v>0</v>
      </c>
      <c r="M74" s="540">
        <v>82680.000000000029</v>
      </c>
      <c r="N74" s="540">
        <v>0</v>
      </c>
      <c r="O74" s="540">
        <v>704.99999999999886</v>
      </c>
      <c r="P74" s="540">
        <v>9974.9999999999964</v>
      </c>
      <c r="Q74" s="540">
        <v>21805.000000000011</v>
      </c>
      <c r="R74" s="540">
        <v>10779.999999999998</v>
      </c>
      <c r="S74" s="540">
        <v>1559.9999999999975</v>
      </c>
      <c r="T74" s="540">
        <v>685.00000000000011</v>
      </c>
      <c r="U74" s="540">
        <v>0</v>
      </c>
      <c r="V74" s="540">
        <v>0</v>
      </c>
      <c r="W74" s="540">
        <v>0</v>
      </c>
      <c r="X74" s="540">
        <v>0</v>
      </c>
      <c r="Y74" s="540">
        <v>0</v>
      </c>
      <c r="Z74" s="540">
        <v>0</v>
      </c>
      <c r="AA74" s="540">
        <v>63367.499999999985</v>
      </c>
      <c r="AB74" s="540">
        <v>0</v>
      </c>
      <c r="AC74" s="540">
        <v>77069.318181818147</v>
      </c>
      <c r="AD74" s="540">
        <v>0</v>
      </c>
      <c r="AE74" s="540">
        <v>38.932758620690201</v>
      </c>
      <c r="AF74" s="540">
        <v>0</v>
      </c>
      <c r="AG74" s="540">
        <v>145100</v>
      </c>
      <c r="AH74" s="540">
        <v>0</v>
      </c>
      <c r="AI74" s="540">
        <v>0</v>
      </c>
      <c r="AJ74" s="540">
        <v>0</v>
      </c>
      <c r="AK74" s="540">
        <v>2390</v>
      </c>
      <c r="AL74" s="540">
        <v>0</v>
      </c>
      <c r="AM74" s="540">
        <v>0</v>
      </c>
      <c r="AN74" s="540">
        <v>0</v>
      </c>
      <c r="AO74" s="540">
        <v>0</v>
      </c>
      <c r="AP74" s="540">
        <v>0</v>
      </c>
      <c r="AQ74" s="540">
        <v>0</v>
      </c>
      <c r="AR74" s="540">
        <v>0</v>
      </c>
      <c r="AS74" s="540">
        <v>0</v>
      </c>
      <c r="AT74" s="540">
        <v>450099</v>
      </c>
      <c r="AU74" s="540">
        <v>306285.75094043894</v>
      </c>
      <c r="AV74" s="540">
        <v>147490</v>
      </c>
      <c r="AW74" s="540">
        <v>162732.37662225703</v>
      </c>
      <c r="AX74" s="541">
        <v>903874.75094043894</v>
      </c>
      <c r="AY74" s="541">
        <v>901484.75094043894</v>
      </c>
      <c r="AZ74" s="541">
        <v>4955</v>
      </c>
      <c r="BA74" s="541">
        <v>579735</v>
      </c>
      <c r="BB74" s="541">
        <v>0</v>
      </c>
      <c r="BC74" s="541">
        <v>0</v>
      </c>
      <c r="BD74" s="541">
        <v>903874.75094043894</v>
      </c>
      <c r="BE74" s="540">
        <v>903874.75094043883</v>
      </c>
      <c r="BF74" s="540">
        <v>0</v>
      </c>
      <c r="BG74" s="541">
        <v>582125</v>
      </c>
      <c r="BH74" s="541">
        <v>434635</v>
      </c>
      <c r="BI74" s="540">
        <v>756384.75094043894</v>
      </c>
      <c r="BJ74" s="540">
        <v>6464.8269311148624</v>
      </c>
      <c r="BK74" s="540">
        <v>6054.7579090909094</v>
      </c>
      <c r="BL74" s="542">
        <v>6.7726741214253233E-2</v>
      </c>
      <c r="BM74" s="542">
        <v>-5.1980502172687196E-2</v>
      </c>
      <c r="BN74" s="540">
        <v>-36823.334727885616</v>
      </c>
      <c r="BO74" s="541">
        <v>867051.41621255327</v>
      </c>
      <c r="BP74" s="541">
        <v>7390.2685146372078</v>
      </c>
      <c r="BQ74" s="541" t="s">
        <v>771</v>
      </c>
      <c r="BR74" s="541">
        <v>7410.6958650645583</v>
      </c>
      <c r="BS74" s="542">
        <v>2.1257369817317961E-3</v>
      </c>
      <c r="BT74" s="540">
        <v>0</v>
      </c>
      <c r="BU74" s="540">
        <v>867051.41621255327</v>
      </c>
      <c r="BV74" s="540">
        <v>0</v>
      </c>
      <c r="BW74" s="540">
        <v>867051.41621255327</v>
      </c>
      <c r="BX74" s="540">
        <v>2390</v>
      </c>
      <c r="BY74" s="540">
        <v>864661.41621255327</v>
      </c>
      <c r="CA74" s="10"/>
    </row>
    <row r="75" spans="1:79" ht="14.5" x14ac:dyDescent="0.35">
      <c r="A75" s="537">
        <v>146140</v>
      </c>
      <c r="B75" s="537">
        <v>8313528</v>
      </c>
      <c r="C75" s="538" t="s">
        <v>126</v>
      </c>
      <c r="D75" s="537">
        <v>146140</v>
      </c>
      <c r="E75" s="539">
        <v>350</v>
      </c>
      <c r="F75" s="539">
        <v>350</v>
      </c>
      <c r="G75" s="539">
        <v>0</v>
      </c>
      <c r="H75" s="540">
        <v>1346450</v>
      </c>
      <c r="I75" s="540">
        <v>0</v>
      </c>
      <c r="J75" s="540">
        <v>0</v>
      </c>
      <c r="K75" s="540">
        <v>43559.99999999992</v>
      </c>
      <c r="L75" s="540">
        <v>0</v>
      </c>
      <c r="M75" s="540">
        <v>93279.99999999984</v>
      </c>
      <c r="N75" s="540">
        <v>0</v>
      </c>
      <c r="O75" s="540">
        <v>20621.757925072056</v>
      </c>
      <c r="P75" s="540">
        <v>16960.374639769449</v>
      </c>
      <c r="Q75" s="540">
        <v>7181.5561959654124</v>
      </c>
      <c r="R75" s="540">
        <v>9390.4899135446685</v>
      </c>
      <c r="S75" s="540">
        <v>9965.4178674351569</v>
      </c>
      <c r="T75" s="540">
        <v>15200.288184438043</v>
      </c>
      <c r="U75" s="540">
        <v>0</v>
      </c>
      <c r="V75" s="540">
        <v>0</v>
      </c>
      <c r="W75" s="540">
        <v>0</v>
      </c>
      <c r="X75" s="540">
        <v>0</v>
      </c>
      <c r="Y75" s="540">
        <v>0</v>
      </c>
      <c r="Z75" s="540">
        <v>0</v>
      </c>
      <c r="AA75" s="540">
        <v>89540.716612377917</v>
      </c>
      <c r="AB75" s="540">
        <v>0</v>
      </c>
      <c r="AC75" s="540">
        <v>135866.74944363025</v>
      </c>
      <c r="AD75" s="540">
        <v>0</v>
      </c>
      <c r="AE75" s="540">
        <v>28950.000000000091</v>
      </c>
      <c r="AF75" s="540">
        <v>0</v>
      </c>
      <c r="AG75" s="540">
        <v>145100</v>
      </c>
      <c r="AH75" s="540">
        <v>0</v>
      </c>
      <c r="AI75" s="540">
        <v>0</v>
      </c>
      <c r="AJ75" s="540">
        <v>0</v>
      </c>
      <c r="AK75" s="540">
        <v>22835</v>
      </c>
      <c r="AL75" s="540">
        <v>0</v>
      </c>
      <c r="AM75" s="540">
        <v>0</v>
      </c>
      <c r="AN75" s="540">
        <v>0</v>
      </c>
      <c r="AO75" s="540">
        <v>0</v>
      </c>
      <c r="AP75" s="540">
        <v>0</v>
      </c>
      <c r="AQ75" s="540">
        <v>0</v>
      </c>
      <c r="AR75" s="540">
        <v>0</v>
      </c>
      <c r="AS75" s="540">
        <v>0</v>
      </c>
      <c r="AT75" s="540">
        <v>1346450</v>
      </c>
      <c r="AU75" s="540">
        <v>470517.35078223282</v>
      </c>
      <c r="AV75" s="540">
        <v>167935</v>
      </c>
      <c r="AW75" s="540">
        <v>346398.44306482229</v>
      </c>
      <c r="AX75" s="541">
        <v>1984902.3507822328</v>
      </c>
      <c r="AY75" s="541">
        <v>1962067.3507822328</v>
      </c>
      <c r="AZ75" s="541">
        <v>4955</v>
      </c>
      <c r="BA75" s="541">
        <v>1734250</v>
      </c>
      <c r="BB75" s="541">
        <v>0</v>
      </c>
      <c r="BC75" s="541">
        <v>0</v>
      </c>
      <c r="BD75" s="541">
        <v>1984902.3507822328</v>
      </c>
      <c r="BE75" s="540">
        <v>1984902.3507822328</v>
      </c>
      <c r="BF75" s="540">
        <v>0</v>
      </c>
      <c r="BG75" s="541">
        <v>1757085</v>
      </c>
      <c r="BH75" s="541">
        <v>1589150</v>
      </c>
      <c r="BI75" s="540">
        <v>1816967.3507822328</v>
      </c>
      <c r="BJ75" s="540">
        <v>5191.3352879492368</v>
      </c>
      <c r="BK75" s="540">
        <v>5067.9938483965016</v>
      </c>
      <c r="BL75" s="542">
        <v>2.4337330163050629E-2</v>
      </c>
      <c r="BM75" s="542">
        <v>-1.5793733355984226E-2</v>
      </c>
      <c r="BN75" s="540">
        <v>-28014.890221969941</v>
      </c>
      <c r="BO75" s="541">
        <v>1956887.4605602629</v>
      </c>
      <c r="BP75" s="541">
        <v>5525.864173029323</v>
      </c>
      <c r="BQ75" s="541" t="s">
        <v>771</v>
      </c>
      <c r="BR75" s="541">
        <v>5591.1070301721793</v>
      </c>
      <c r="BS75" s="542">
        <v>6.0288936940071647E-3</v>
      </c>
      <c r="BT75" s="540">
        <v>0</v>
      </c>
      <c r="BU75" s="540">
        <v>1956887.4605602629</v>
      </c>
      <c r="BV75" s="540">
        <v>0</v>
      </c>
      <c r="BW75" s="540">
        <v>1956887.4605602629</v>
      </c>
      <c r="BX75" s="540">
        <v>22835</v>
      </c>
      <c r="BY75" s="540">
        <v>1934052.4605602629</v>
      </c>
      <c r="CA75" s="10"/>
    </row>
    <row r="76" spans="1:79" ht="14.5" x14ac:dyDescent="0.35">
      <c r="A76" s="537">
        <v>142752</v>
      </c>
      <c r="B76" s="537">
        <v>8313530</v>
      </c>
      <c r="C76" s="538" t="s">
        <v>127</v>
      </c>
      <c r="D76" s="537">
        <v>142752</v>
      </c>
      <c r="E76" s="539">
        <v>404</v>
      </c>
      <c r="F76" s="539">
        <v>404</v>
      </c>
      <c r="G76" s="539">
        <v>0</v>
      </c>
      <c r="H76" s="540">
        <v>1554188</v>
      </c>
      <c r="I76" s="540">
        <v>0</v>
      </c>
      <c r="J76" s="540">
        <v>0</v>
      </c>
      <c r="K76" s="540">
        <v>9404.9999999999945</v>
      </c>
      <c r="L76" s="540">
        <v>0</v>
      </c>
      <c r="M76" s="540">
        <v>20139.999999999989</v>
      </c>
      <c r="N76" s="540">
        <v>0</v>
      </c>
      <c r="O76" s="540">
        <v>4230.0000000000045</v>
      </c>
      <c r="P76" s="540">
        <v>2565.0000000000027</v>
      </c>
      <c r="Q76" s="540">
        <v>1335.0000000000007</v>
      </c>
      <c r="R76" s="540">
        <v>3429.999999999995</v>
      </c>
      <c r="S76" s="540">
        <v>1039.9999999999998</v>
      </c>
      <c r="T76" s="540">
        <v>1369.9999999999998</v>
      </c>
      <c r="U76" s="540">
        <v>0</v>
      </c>
      <c r="V76" s="540">
        <v>0</v>
      </c>
      <c r="W76" s="540">
        <v>0</v>
      </c>
      <c r="X76" s="540">
        <v>0</v>
      </c>
      <c r="Y76" s="540">
        <v>0</v>
      </c>
      <c r="Z76" s="540">
        <v>0</v>
      </c>
      <c r="AA76" s="540">
        <v>4132.6074498567341</v>
      </c>
      <c r="AB76" s="540">
        <v>0</v>
      </c>
      <c r="AC76" s="540">
        <v>75821.317972562843</v>
      </c>
      <c r="AD76" s="540">
        <v>0</v>
      </c>
      <c r="AE76" s="540">
        <v>0</v>
      </c>
      <c r="AF76" s="540">
        <v>0</v>
      </c>
      <c r="AG76" s="540">
        <v>145100</v>
      </c>
      <c r="AH76" s="540">
        <v>0</v>
      </c>
      <c r="AI76" s="540">
        <v>0</v>
      </c>
      <c r="AJ76" s="540">
        <v>0</v>
      </c>
      <c r="AK76" s="540">
        <v>5421</v>
      </c>
      <c r="AL76" s="540">
        <v>0</v>
      </c>
      <c r="AM76" s="540">
        <v>0</v>
      </c>
      <c r="AN76" s="540">
        <v>0</v>
      </c>
      <c r="AO76" s="540">
        <v>0</v>
      </c>
      <c r="AP76" s="540">
        <v>0</v>
      </c>
      <c r="AQ76" s="540">
        <v>0</v>
      </c>
      <c r="AR76" s="540">
        <v>0</v>
      </c>
      <c r="AS76" s="540">
        <v>0</v>
      </c>
      <c r="AT76" s="540">
        <v>1554188</v>
      </c>
      <c r="AU76" s="540">
        <v>123468.92542241956</v>
      </c>
      <c r="AV76" s="540">
        <v>150521</v>
      </c>
      <c r="AW76" s="540">
        <v>227949.08182981916</v>
      </c>
      <c r="AX76" s="541">
        <v>1828177.9254224196</v>
      </c>
      <c r="AY76" s="541">
        <v>1822756.9254224196</v>
      </c>
      <c r="AZ76" s="541">
        <v>4955</v>
      </c>
      <c r="BA76" s="541">
        <v>2001820</v>
      </c>
      <c r="BB76" s="541">
        <v>179063.07457758044</v>
      </c>
      <c r="BC76" s="541">
        <v>0</v>
      </c>
      <c r="BD76" s="541">
        <v>2007241</v>
      </c>
      <c r="BE76" s="540">
        <v>2007241</v>
      </c>
      <c r="BF76" s="540">
        <v>0</v>
      </c>
      <c r="BG76" s="541">
        <v>2007241</v>
      </c>
      <c r="BH76" s="541">
        <v>1856720</v>
      </c>
      <c r="BI76" s="540">
        <v>1856720</v>
      </c>
      <c r="BJ76" s="540">
        <v>4595.8415841584156</v>
      </c>
      <c r="BK76" s="540">
        <v>4553.8168316831679</v>
      </c>
      <c r="BL76" s="542">
        <v>9.2284679047388383E-3</v>
      </c>
      <c r="BM76" s="542">
        <v>-3.1929422325521909E-3</v>
      </c>
      <c r="BN76" s="540">
        <v>0</v>
      </c>
      <c r="BO76" s="541">
        <v>2007241</v>
      </c>
      <c r="BP76" s="541">
        <v>4955</v>
      </c>
      <c r="BQ76" s="541" t="s">
        <v>771</v>
      </c>
      <c r="BR76" s="541">
        <v>4968.4183168316831</v>
      </c>
      <c r="BS76" s="542">
        <v>8.5304295431880561E-3</v>
      </c>
      <c r="BT76" s="540">
        <v>0</v>
      </c>
      <c r="BU76" s="540">
        <v>2007241</v>
      </c>
      <c r="BV76" s="540">
        <v>0</v>
      </c>
      <c r="BW76" s="540">
        <v>2007241</v>
      </c>
      <c r="BX76" s="540">
        <v>5421</v>
      </c>
      <c r="BY76" s="540">
        <v>2001820</v>
      </c>
      <c r="CA76" s="10"/>
    </row>
    <row r="77" spans="1:79" ht="14.5" x14ac:dyDescent="0.35">
      <c r="A77" s="537">
        <v>138666</v>
      </c>
      <c r="B77" s="537">
        <v>8313531</v>
      </c>
      <c r="C77" s="538" t="s">
        <v>128</v>
      </c>
      <c r="D77" s="537">
        <v>138666</v>
      </c>
      <c r="E77" s="539">
        <v>337</v>
      </c>
      <c r="F77" s="539">
        <v>337</v>
      </c>
      <c r="G77" s="539">
        <v>0</v>
      </c>
      <c r="H77" s="540">
        <v>1296439</v>
      </c>
      <c r="I77" s="540">
        <v>0</v>
      </c>
      <c r="J77" s="540">
        <v>0</v>
      </c>
      <c r="K77" s="540">
        <v>37125.000000000036</v>
      </c>
      <c r="L77" s="540">
        <v>0</v>
      </c>
      <c r="M77" s="540">
        <v>81620</v>
      </c>
      <c r="N77" s="540">
        <v>0</v>
      </c>
      <c r="O77" s="540">
        <v>234.99999999999969</v>
      </c>
      <c r="P77" s="540">
        <v>13964.999999999993</v>
      </c>
      <c r="Q77" s="540">
        <v>6675.0000000000073</v>
      </c>
      <c r="R77" s="540">
        <v>7840.0000000000055</v>
      </c>
      <c r="S77" s="540">
        <v>18720.000000000044</v>
      </c>
      <c r="T77" s="540">
        <v>6164.9999999999918</v>
      </c>
      <c r="U77" s="540">
        <v>0</v>
      </c>
      <c r="V77" s="540">
        <v>0</v>
      </c>
      <c r="W77" s="540">
        <v>0</v>
      </c>
      <c r="X77" s="540">
        <v>0</v>
      </c>
      <c r="Y77" s="540">
        <v>0</v>
      </c>
      <c r="Z77" s="540">
        <v>0</v>
      </c>
      <c r="AA77" s="540">
        <v>45167.201365187771</v>
      </c>
      <c r="AB77" s="540">
        <v>0</v>
      </c>
      <c r="AC77" s="540">
        <v>90907.304018445342</v>
      </c>
      <c r="AD77" s="540">
        <v>0</v>
      </c>
      <c r="AE77" s="540">
        <v>7507.7</v>
      </c>
      <c r="AF77" s="540">
        <v>0</v>
      </c>
      <c r="AG77" s="540">
        <v>145100</v>
      </c>
      <c r="AH77" s="540">
        <v>0</v>
      </c>
      <c r="AI77" s="540">
        <v>0</v>
      </c>
      <c r="AJ77" s="540">
        <v>0</v>
      </c>
      <c r="AK77" s="540">
        <v>5376</v>
      </c>
      <c r="AL77" s="540">
        <v>0</v>
      </c>
      <c r="AM77" s="540">
        <v>0</v>
      </c>
      <c r="AN77" s="540">
        <v>0</v>
      </c>
      <c r="AO77" s="540">
        <v>0</v>
      </c>
      <c r="AP77" s="540">
        <v>0</v>
      </c>
      <c r="AQ77" s="540">
        <v>0</v>
      </c>
      <c r="AR77" s="540">
        <v>0</v>
      </c>
      <c r="AS77" s="540">
        <v>0</v>
      </c>
      <c r="AT77" s="540">
        <v>1296439</v>
      </c>
      <c r="AU77" s="540">
        <v>315927.20538363321</v>
      </c>
      <c r="AV77" s="540">
        <v>150476</v>
      </c>
      <c r="AW77" s="540">
        <v>271239.06219270633</v>
      </c>
      <c r="AX77" s="541">
        <v>1762842.2053836333</v>
      </c>
      <c r="AY77" s="541">
        <v>1757466.2053836333</v>
      </c>
      <c r="AZ77" s="541">
        <v>4955</v>
      </c>
      <c r="BA77" s="541">
        <v>1669835</v>
      </c>
      <c r="BB77" s="541">
        <v>0</v>
      </c>
      <c r="BC77" s="541">
        <v>0</v>
      </c>
      <c r="BD77" s="541">
        <v>1762842.2053836333</v>
      </c>
      <c r="BE77" s="540">
        <v>1762842.205383633</v>
      </c>
      <c r="BF77" s="540">
        <v>0</v>
      </c>
      <c r="BG77" s="541">
        <v>1675211</v>
      </c>
      <c r="BH77" s="541">
        <v>1524735</v>
      </c>
      <c r="BI77" s="540">
        <v>1612366.2053836333</v>
      </c>
      <c r="BJ77" s="540">
        <v>4784.4694521769534</v>
      </c>
      <c r="BK77" s="540">
        <v>4810.68210982659</v>
      </c>
      <c r="BL77" s="542">
        <v>-5.4488442701489427E-3</v>
      </c>
      <c r="BM77" s="542">
        <v>5.4488442701489427E-3</v>
      </c>
      <c r="BN77" s="540">
        <v>8833.6656279275485</v>
      </c>
      <c r="BO77" s="541">
        <v>1771675.8710115608</v>
      </c>
      <c r="BP77" s="541">
        <v>5241.245908046174</v>
      </c>
      <c r="BQ77" s="541" t="s">
        <v>771</v>
      </c>
      <c r="BR77" s="541">
        <v>5257.1984303013669</v>
      </c>
      <c r="BS77" s="542">
        <v>2.2141646604636467E-3</v>
      </c>
      <c r="BT77" s="540">
        <v>0</v>
      </c>
      <c r="BU77" s="540">
        <v>1771675.8710115608</v>
      </c>
      <c r="BV77" s="540">
        <v>0</v>
      </c>
      <c r="BW77" s="540">
        <v>1771675.8710115608</v>
      </c>
      <c r="BX77" s="540">
        <v>5376</v>
      </c>
      <c r="BY77" s="540">
        <v>1766299.8710115608</v>
      </c>
      <c r="CA77" s="10"/>
    </row>
    <row r="78" spans="1:79" ht="14.5" x14ac:dyDescent="0.35">
      <c r="A78" s="537">
        <v>147490</v>
      </c>
      <c r="B78" s="537">
        <v>8313532</v>
      </c>
      <c r="C78" s="538" t="s">
        <v>129</v>
      </c>
      <c r="D78" s="537">
        <v>147490</v>
      </c>
      <c r="E78" s="539">
        <v>290</v>
      </c>
      <c r="F78" s="539">
        <v>290</v>
      </c>
      <c r="G78" s="539">
        <v>0</v>
      </c>
      <c r="H78" s="540">
        <v>1115630</v>
      </c>
      <c r="I78" s="540">
        <v>0</v>
      </c>
      <c r="J78" s="540">
        <v>0</v>
      </c>
      <c r="K78" s="540">
        <v>23759.999999999949</v>
      </c>
      <c r="L78" s="540">
        <v>0</v>
      </c>
      <c r="M78" s="540">
        <v>51939.999999999913</v>
      </c>
      <c r="N78" s="540">
        <v>0</v>
      </c>
      <c r="O78" s="540">
        <v>13630</v>
      </c>
      <c r="P78" s="540">
        <v>2565.0000000000009</v>
      </c>
      <c r="Q78" s="540">
        <v>1780.0000000000048</v>
      </c>
      <c r="R78" s="540">
        <v>4900.0000000000073</v>
      </c>
      <c r="S78" s="540">
        <v>2599.9999999999959</v>
      </c>
      <c r="T78" s="540">
        <v>0</v>
      </c>
      <c r="U78" s="540">
        <v>0</v>
      </c>
      <c r="V78" s="540">
        <v>0</v>
      </c>
      <c r="W78" s="540">
        <v>0</v>
      </c>
      <c r="X78" s="540">
        <v>0</v>
      </c>
      <c r="Y78" s="540">
        <v>0</v>
      </c>
      <c r="Z78" s="540">
        <v>0</v>
      </c>
      <c r="AA78" s="540">
        <v>4850.8032128514078</v>
      </c>
      <c r="AB78" s="540">
        <v>0</v>
      </c>
      <c r="AC78" s="540">
        <v>87606.920582047693</v>
      </c>
      <c r="AD78" s="540">
        <v>0</v>
      </c>
      <c r="AE78" s="540">
        <v>0</v>
      </c>
      <c r="AF78" s="540">
        <v>0</v>
      </c>
      <c r="AG78" s="540">
        <v>145100</v>
      </c>
      <c r="AH78" s="540">
        <v>0</v>
      </c>
      <c r="AI78" s="540">
        <v>0</v>
      </c>
      <c r="AJ78" s="540">
        <v>0</v>
      </c>
      <c r="AK78" s="540">
        <v>5120</v>
      </c>
      <c r="AL78" s="540">
        <v>0</v>
      </c>
      <c r="AM78" s="540">
        <v>0</v>
      </c>
      <c r="AN78" s="540">
        <v>0</v>
      </c>
      <c r="AO78" s="540">
        <v>0</v>
      </c>
      <c r="AP78" s="540">
        <v>0</v>
      </c>
      <c r="AQ78" s="540">
        <v>0</v>
      </c>
      <c r="AR78" s="540">
        <v>0</v>
      </c>
      <c r="AS78" s="540">
        <v>0</v>
      </c>
      <c r="AT78" s="540">
        <v>1115630</v>
      </c>
      <c r="AU78" s="540">
        <v>193632.72379489895</v>
      </c>
      <c r="AV78" s="540">
        <v>150220</v>
      </c>
      <c r="AW78" s="540">
        <v>199735.76607445738</v>
      </c>
      <c r="AX78" s="541">
        <v>1459482.7237948989</v>
      </c>
      <c r="AY78" s="541">
        <v>1454362.7237948989</v>
      </c>
      <c r="AZ78" s="541">
        <v>4955</v>
      </c>
      <c r="BA78" s="541">
        <v>1436950</v>
      </c>
      <c r="BB78" s="541">
        <v>0</v>
      </c>
      <c r="BC78" s="541">
        <v>0</v>
      </c>
      <c r="BD78" s="541">
        <v>1459482.7237948989</v>
      </c>
      <c r="BE78" s="540">
        <v>1459482.7237948992</v>
      </c>
      <c r="BF78" s="540">
        <v>0</v>
      </c>
      <c r="BG78" s="541">
        <v>1442070</v>
      </c>
      <c r="BH78" s="541">
        <v>1291850</v>
      </c>
      <c r="BI78" s="540">
        <v>1309262.7237948989</v>
      </c>
      <c r="BJ78" s="540">
        <v>4514.6990475686171</v>
      </c>
      <c r="BK78" s="540">
        <v>4476.0853000000006</v>
      </c>
      <c r="BL78" s="542">
        <v>8.6266782200545671E-3</v>
      </c>
      <c r="BM78" s="542">
        <v>-2.6910496355255086E-3</v>
      </c>
      <c r="BN78" s="540">
        <v>-3493.1566373923656</v>
      </c>
      <c r="BO78" s="541">
        <v>1455989.5671575065</v>
      </c>
      <c r="BP78" s="541">
        <v>5002.9985074396773</v>
      </c>
      <c r="BQ78" s="541" t="s">
        <v>771</v>
      </c>
      <c r="BR78" s="541">
        <v>5020.6536798534707</v>
      </c>
      <c r="BS78" s="542">
        <v>8.8956897797827228E-3</v>
      </c>
      <c r="BT78" s="540">
        <v>0</v>
      </c>
      <c r="BU78" s="540">
        <v>1455989.5671575065</v>
      </c>
      <c r="BV78" s="540">
        <v>0</v>
      </c>
      <c r="BW78" s="540">
        <v>1455989.5671575065</v>
      </c>
      <c r="BX78" s="540">
        <v>5120</v>
      </c>
      <c r="BY78" s="540">
        <v>1450869.5671575065</v>
      </c>
      <c r="CA78" s="10"/>
    </row>
    <row r="79" spans="1:79" ht="14.5" x14ac:dyDescent="0.35">
      <c r="A79" s="537">
        <v>148368</v>
      </c>
      <c r="B79" s="537">
        <v>8313535</v>
      </c>
      <c r="C79" s="538" t="s">
        <v>130</v>
      </c>
      <c r="D79" s="537">
        <v>148368</v>
      </c>
      <c r="E79" s="539">
        <v>297</v>
      </c>
      <c r="F79" s="539">
        <v>297</v>
      </c>
      <c r="G79" s="539">
        <v>0</v>
      </c>
      <c r="H79" s="540">
        <v>1142559</v>
      </c>
      <c r="I79" s="540">
        <v>0</v>
      </c>
      <c r="J79" s="540">
        <v>0</v>
      </c>
      <c r="K79" s="540">
        <v>86130.000000000015</v>
      </c>
      <c r="L79" s="540">
        <v>0</v>
      </c>
      <c r="M79" s="540">
        <v>186560.00000000012</v>
      </c>
      <c r="N79" s="540">
        <v>0</v>
      </c>
      <c r="O79" s="540">
        <v>11749.999999999975</v>
      </c>
      <c r="P79" s="540">
        <v>18525.000000000011</v>
      </c>
      <c r="Q79" s="540">
        <v>36934.999999999942</v>
      </c>
      <c r="R79" s="540">
        <v>24499.999999999949</v>
      </c>
      <c r="S79" s="540">
        <v>3640.000000000005</v>
      </c>
      <c r="T79" s="540">
        <v>22604.999999999975</v>
      </c>
      <c r="U79" s="540">
        <v>0</v>
      </c>
      <c r="V79" s="540">
        <v>0</v>
      </c>
      <c r="W79" s="540">
        <v>0</v>
      </c>
      <c r="X79" s="540">
        <v>0</v>
      </c>
      <c r="Y79" s="540">
        <v>0</v>
      </c>
      <c r="Z79" s="540">
        <v>0</v>
      </c>
      <c r="AA79" s="540">
        <v>49980.000000000022</v>
      </c>
      <c r="AB79" s="540">
        <v>0</v>
      </c>
      <c r="AC79" s="540">
        <v>129221.47965021247</v>
      </c>
      <c r="AD79" s="540">
        <v>0</v>
      </c>
      <c r="AE79" s="540">
        <v>2103.699999999988</v>
      </c>
      <c r="AF79" s="540">
        <v>0</v>
      </c>
      <c r="AG79" s="540">
        <v>145100</v>
      </c>
      <c r="AH79" s="540">
        <v>0</v>
      </c>
      <c r="AI79" s="540">
        <v>0</v>
      </c>
      <c r="AJ79" s="540">
        <v>0</v>
      </c>
      <c r="AK79" s="540">
        <v>3783</v>
      </c>
      <c r="AL79" s="540">
        <v>0</v>
      </c>
      <c r="AM79" s="540">
        <v>0</v>
      </c>
      <c r="AN79" s="540">
        <v>0</v>
      </c>
      <c r="AO79" s="540">
        <v>0</v>
      </c>
      <c r="AP79" s="540">
        <v>0</v>
      </c>
      <c r="AQ79" s="540">
        <v>0</v>
      </c>
      <c r="AR79" s="540">
        <v>0</v>
      </c>
      <c r="AS79" s="540">
        <v>0</v>
      </c>
      <c r="AT79" s="540">
        <v>1142559</v>
      </c>
      <c r="AU79" s="540">
        <v>571950.17965021241</v>
      </c>
      <c r="AV79" s="540">
        <v>148883</v>
      </c>
      <c r="AW79" s="540">
        <v>338604.05968719354</v>
      </c>
      <c r="AX79" s="541">
        <v>1863392.1796502124</v>
      </c>
      <c r="AY79" s="541">
        <v>1859609.1796502124</v>
      </c>
      <c r="AZ79" s="541">
        <v>4955</v>
      </c>
      <c r="BA79" s="541">
        <v>1471635</v>
      </c>
      <c r="BB79" s="541">
        <v>0</v>
      </c>
      <c r="BC79" s="541">
        <v>0</v>
      </c>
      <c r="BD79" s="541">
        <v>1863392.1796502124</v>
      </c>
      <c r="BE79" s="540">
        <v>1863392.1796502124</v>
      </c>
      <c r="BF79" s="540">
        <v>0</v>
      </c>
      <c r="BG79" s="541">
        <v>1475418</v>
      </c>
      <c r="BH79" s="541">
        <v>1326535</v>
      </c>
      <c r="BI79" s="540">
        <v>1714509.1796502124</v>
      </c>
      <c r="BJ79" s="540">
        <v>5772.758180640446</v>
      </c>
      <c r="BK79" s="540">
        <v>5739.7390540540537</v>
      </c>
      <c r="BL79" s="542">
        <v>5.752722602096424E-3</v>
      </c>
      <c r="BM79" s="542">
        <v>-2.9417065014841737E-4</v>
      </c>
      <c r="BN79" s="540">
        <v>-501.47344245636293</v>
      </c>
      <c r="BO79" s="541">
        <v>1862890.706207756</v>
      </c>
      <c r="BP79" s="541">
        <v>6259.621906423421</v>
      </c>
      <c r="BQ79" s="541" t="s">
        <v>771</v>
      </c>
      <c r="BR79" s="541">
        <v>6272.3592801607947</v>
      </c>
      <c r="BS79" s="542">
        <v>4.8074995585920544E-3</v>
      </c>
      <c r="BT79" s="540">
        <v>0</v>
      </c>
      <c r="BU79" s="540">
        <v>1862890.706207756</v>
      </c>
      <c r="BV79" s="540">
        <v>0</v>
      </c>
      <c r="BW79" s="540">
        <v>1862890.706207756</v>
      </c>
      <c r="BX79" s="540">
        <v>3783</v>
      </c>
      <c r="BY79" s="540">
        <v>1859107.706207756</v>
      </c>
      <c r="CA79" s="10"/>
    </row>
    <row r="80" spans="1:79" ht="14.5" x14ac:dyDescent="0.35">
      <c r="A80" s="537">
        <v>146104</v>
      </c>
      <c r="B80" s="537">
        <v>8313542</v>
      </c>
      <c r="C80" s="538" t="s">
        <v>131</v>
      </c>
      <c r="D80" s="537">
        <v>146104</v>
      </c>
      <c r="E80" s="539">
        <v>381</v>
      </c>
      <c r="F80" s="539">
        <v>381</v>
      </c>
      <c r="G80" s="539">
        <v>0</v>
      </c>
      <c r="H80" s="540">
        <v>1465707</v>
      </c>
      <c r="I80" s="540">
        <v>0</v>
      </c>
      <c r="J80" s="540">
        <v>0</v>
      </c>
      <c r="K80" s="540">
        <v>35640.000000000015</v>
      </c>
      <c r="L80" s="540">
        <v>0</v>
      </c>
      <c r="M80" s="540">
        <v>77379.99999999984</v>
      </c>
      <c r="N80" s="540">
        <v>0</v>
      </c>
      <c r="O80" s="540">
        <v>5640.0000000000027</v>
      </c>
      <c r="P80" s="540">
        <v>32774.999999999964</v>
      </c>
      <c r="Q80" s="540">
        <v>18690.000000000011</v>
      </c>
      <c r="R80" s="540">
        <v>27440.000000000015</v>
      </c>
      <c r="S80" s="540">
        <v>19240.000000000011</v>
      </c>
      <c r="T80" s="540">
        <v>8905.0000000000055</v>
      </c>
      <c r="U80" s="540">
        <v>0</v>
      </c>
      <c r="V80" s="540">
        <v>0</v>
      </c>
      <c r="W80" s="540">
        <v>0</v>
      </c>
      <c r="X80" s="540">
        <v>0</v>
      </c>
      <c r="Y80" s="540">
        <v>0</v>
      </c>
      <c r="Z80" s="540">
        <v>0</v>
      </c>
      <c r="AA80" s="540">
        <v>90678</v>
      </c>
      <c r="AB80" s="540">
        <v>0</v>
      </c>
      <c r="AC80" s="540">
        <v>116025.58706707436</v>
      </c>
      <c r="AD80" s="540">
        <v>0</v>
      </c>
      <c r="AE80" s="540">
        <v>0</v>
      </c>
      <c r="AF80" s="540">
        <v>0</v>
      </c>
      <c r="AG80" s="540">
        <v>145100</v>
      </c>
      <c r="AH80" s="540">
        <v>0</v>
      </c>
      <c r="AI80" s="540">
        <v>0</v>
      </c>
      <c r="AJ80" s="540">
        <v>0</v>
      </c>
      <c r="AK80" s="540">
        <v>6656</v>
      </c>
      <c r="AL80" s="540">
        <v>0</v>
      </c>
      <c r="AM80" s="540">
        <v>0</v>
      </c>
      <c r="AN80" s="540">
        <v>0</v>
      </c>
      <c r="AO80" s="540">
        <v>0</v>
      </c>
      <c r="AP80" s="540">
        <v>0</v>
      </c>
      <c r="AQ80" s="540">
        <v>0</v>
      </c>
      <c r="AR80" s="540">
        <v>0</v>
      </c>
      <c r="AS80" s="540">
        <v>0</v>
      </c>
      <c r="AT80" s="540">
        <v>1465707</v>
      </c>
      <c r="AU80" s="540">
        <v>432413.5870670742</v>
      </c>
      <c r="AV80" s="540">
        <v>151756</v>
      </c>
      <c r="AW80" s="540">
        <v>329182.40582913149</v>
      </c>
      <c r="AX80" s="541">
        <v>2049876.5870670741</v>
      </c>
      <c r="AY80" s="541">
        <v>2043220.5870670741</v>
      </c>
      <c r="AZ80" s="541">
        <v>4955</v>
      </c>
      <c r="BA80" s="541">
        <v>1887855</v>
      </c>
      <c r="BB80" s="541">
        <v>0</v>
      </c>
      <c r="BC80" s="541">
        <v>0</v>
      </c>
      <c r="BD80" s="541">
        <v>2049876.5870670741</v>
      </c>
      <c r="BE80" s="540">
        <v>2049876.5870670741</v>
      </c>
      <c r="BF80" s="540">
        <v>0</v>
      </c>
      <c r="BG80" s="541">
        <v>1894511</v>
      </c>
      <c r="BH80" s="541">
        <v>1742755</v>
      </c>
      <c r="BI80" s="540">
        <v>1898120.5870670741</v>
      </c>
      <c r="BJ80" s="540">
        <v>4981.9437980763105</v>
      </c>
      <c r="BK80" s="540">
        <v>4886.3175000000001</v>
      </c>
      <c r="BL80" s="542">
        <v>1.9570217873953213E-2</v>
      </c>
      <c r="BM80" s="542">
        <v>-1.1817961706876979E-2</v>
      </c>
      <c r="BN80" s="540">
        <v>-22001.345292106926</v>
      </c>
      <c r="BO80" s="541">
        <v>2027875.2417749672</v>
      </c>
      <c r="BP80" s="541">
        <v>5305.0373799867903</v>
      </c>
      <c r="BQ80" s="541" t="s">
        <v>771</v>
      </c>
      <c r="BR80" s="541">
        <v>5322.5071962597567</v>
      </c>
      <c r="BS80" s="542">
        <v>7.7613670242699939E-3</v>
      </c>
      <c r="BT80" s="540">
        <v>0</v>
      </c>
      <c r="BU80" s="540">
        <v>2027875.2417749672</v>
      </c>
      <c r="BV80" s="540">
        <v>0</v>
      </c>
      <c r="BW80" s="540">
        <v>2027875.2417749672</v>
      </c>
      <c r="BX80" s="540">
        <v>6656</v>
      </c>
      <c r="BY80" s="540">
        <v>2021219.2417749672</v>
      </c>
      <c r="CA80" s="10"/>
    </row>
    <row r="81" spans="1:79" ht="14.5" x14ac:dyDescent="0.35">
      <c r="A81" s="537">
        <v>146253</v>
      </c>
      <c r="B81" s="537">
        <v>8313543</v>
      </c>
      <c r="C81" s="538" t="s">
        <v>132</v>
      </c>
      <c r="D81" s="537">
        <v>146253</v>
      </c>
      <c r="E81" s="539">
        <v>302</v>
      </c>
      <c r="F81" s="539">
        <v>302</v>
      </c>
      <c r="G81" s="539">
        <v>0</v>
      </c>
      <c r="H81" s="540">
        <v>1161794</v>
      </c>
      <c r="I81" s="540">
        <v>0</v>
      </c>
      <c r="J81" s="540">
        <v>0</v>
      </c>
      <c r="K81" s="540">
        <v>22274.999999999956</v>
      </c>
      <c r="L81" s="540">
        <v>0</v>
      </c>
      <c r="M81" s="540">
        <v>48760</v>
      </c>
      <c r="N81" s="540">
        <v>0</v>
      </c>
      <c r="O81" s="540">
        <v>13864.999999999998</v>
      </c>
      <c r="P81" s="540">
        <v>8550.0000000000036</v>
      </c>
      <c r="Q81" s="540">
        <v>7119.9999999999964</v>
      </c>
      <c r="R81" s="540">
        <v>3920.000000000005</v>
      </c>
      <c r="S81" s="540">
        <v>10920</v>
      </c>
      <c r="T81" s="540">
        <v>9589.9999999999927</v>
      </c>
      <c r="U81" s="540">
        <v>0</v>
      </c>
      <c r="V81" s="540">
        <v>0</v>
      </c>
      <c r="W81" s="540">
        <v>0</v>
      </c>
      <c r="X81" s="540">
        <v>0</v>
      </c>
      <c r="Y81" s="540">
        <v>0</v>
      </c>
      <c r="Z81" s="540">
        <v>0</v>
      </c>
      <c r="AA81" s="540">
        <v>20496.958174904983</v>
      </c>
      <c r="AB81" s="540">
        <v>0</v>
      </c>
      <c r="AC81" s="540">
        <v>105117.39583644303</v>
      </c>
      <c r="AD81" s="540">
        <v>0</v>
      </c>
      <c r="AE81" s="540">
        <v>0</v>
      </c>
      <c r="AF81" s="540">
        <v>0</v>
      </c>
      <c r="AG81" s="540">
        <v>145100</v>
      </c>
      <c r="AH81" s="540">
        <v>0</v>
      </c>
      <c r="AI81" s="540">
        <v>0</v>
      </c>
      <c r="AJ81" s="540">
        <v>0</v>
      </c>
      <c r="AK81" s="540">
        <v>5478</v>
      </c>
      <c r="AL81" s="540">
        <v>0</v>
      </c>
      <c r="AM81" s="540">
        <v>0</v>
      </c>
      <c r="AN81" s="540">
        <v>0</v>
      </c>
      <c r="AO81" s="540">
        <v>0</v>
      </c>
      <c r="AP81" s="540">
        <v>0</v>
      </c>
      <c r="AQ81" s="540">
        <v>0</v>
      </c>
      <c r="AR81" s="540">
        <v>0</v>
      </c>
      <c r="AS81" s="540">
        <v>0</v>
      </c>
      <c r="AT81" s="540">
        <v>1161794</v>
      </c>
      <c r="AU81" s="540">
        <v>250614.35401134795</v>
      </c>
      <c r="AV81" s="540">
        <v>150578</v>
      </c>
      <c r="AW81" s="540">
        <v>225587.17190630225</v>
      </c>
      <c r="AX81" s="541">
        <v>1562986.354011348</v>
      </c>
      <c r="AY81" s="541">
        <v>1557508.354011348</v>
      </c>
      <c r="AZ81" s="541">
        <v>4955</v>
      </c>
      <c r="BA81" s="541">
        <v>1496410</v>
      </c>
      <c r="BB81" s="541">
        <v>0</v>
      </c>
      <c r="BC81" s="541">
        <v>0</v>
      </c>
      <c r="BD81" s="541">
        <v>1562986.354011348</v>
      </c>
      <c r="BE81" s="540">
        <v>1562986.354011348</v>
      </c>
      <c r="BF81" s="540">
        <v>0</v>
      </c>
      <c r="BG81" s="541">
        <v>1501888</v>
      </c>
      <c r="BH81" s="541">
        <v>1351310</v>
      </c>
      <c r="BI81" s="540">
        <v>1412408.354011348</v>
      </c>
      <c r="BJ81" s="540">
        <v>4676.8488543422118</v>
      </c>
      <c r="BK81" s="540">
        <v>4577.1806493506501</v>
      </c>
      <c r="BL81" s="542">
        <v>2.1775021050502181E-2</v>
      </c>
      <c r="BM81" s="542">
        <v>-1.365676755611882E-2</v>
      </c>
      <c r="BN81" s="540">
        <v>-18877.866641545144</v>
      </c>
      <c r="BO81" s="541">
        <v>1544108.4873698028</v>
      </c>
      <c r="BP81" s="541">
        <v>5094.802938310605</v>
      </c>
      <c r="BQ81" s="541" t="s">
        <v>771</v>
      </c>
      <c r="BR81" s="541">
        <v>5112.9420111582876</v>
      </c>
      <c r="BS81" s="542">
        <v>9.2518339261571381E-3</v>
      </c>
      <c r="BT81" s="540">
        <v>0</v>
      </c>
      <c r="BU81" s="540">
        <v>1544108.4873698028</v>
      </c>
      <c r="BV81" s="540">
        <v>0</v>
      </c>
      <c r="BW81" s="540">
        <v>1544108.4873698028</v>
      </c>
      <c r="BX81" s="540">
        <v>5478</v>
      </c>
      <c r="BY81" s="540">
        <v>1538630.4873698028</v>
      </c>
      <c r="CA81" s="10"/>
    </row>
    <row r="82" spans="1:79" ht="14.5" x14ac:dyDescent="0.35">
      <c r="A82" s="537">
        <v>143875</v>
      </c>
      <c r="B82" s="537">
        <v>8313544</v>
      </c>
      <c r="C82" s="538" t="s">
        <v>133</v>
      </c>
      <c r="D82" s="537">
        <v>143875</v>
      </c>
      <c r="E82" s="539">
        <v>536</v>
      </c>
      <c r="F82" s="539">
        <v>536</v>
      </c>
      <c r="G82" s="539">
        <v>0</v>
      </c>
      <c r="H82" s="540">
        <v>2061992</v>
      </c>
      <c r="I82" s="540">
        <v>0</v>
      </c>
      <c r="J82" s="540">
        <v>0</v>
      </c>
      <c r="K82" s="540">
        <v>168299.99999999991</v>
      </c>
      <c r="L82" s="540">
        <v>0</v>
      </c>
      <c r="M82" s="540">
        <v>362519.99999999983</v>
      </c>
      <c r="N82" s="540">
        <v>0</v>
      </c>
      <c r="O82" s="540">
        <v>2819.9999999999955</v>
      </c>
      <c r="P82" s="540">
        <v>10545.000000000007</v>
      </c>
      <c r="Q82" s="540">
        <v>109470</v>
      </c>
      <c r="R82" s="540">
        <v>105840.00000000009</v>
      </c>
      <c r="S82" s="540">
        <v>4160.0000000000109</v>
      </c>
      <c r="T82" s="540">
        <v>684.99999999999829</v>
      </c>
      <c r="U82" s="540">
        <v>0</v>
      </c>
      <c r="V82" s="540">
        <v>0</v>
      </c>
      <c r="W82" s="540">
        <v>0</v>
      </c>
      <c r="X82" s="540">
        <v>0</v>
      </c>
      <c r="Y82" s="540">
        <v>0</v>
      </c>
      <c r="Z82" s="540">
        <v>0</v>
      </c>
      <c r="AA82" s="540">
        <v>140405.03144654087</v>
      </c>
      <c r="AB82" s="540">
        <v>0</v>
      </c>
      <c r="AC82" s="540">
        <v>301860.54854565713</v>
      </c>
      <c r="AD82" s="540">
        <v>0</v>
      </c>
      <c r="AE82" s="540">
        <v>5704.1420560747838</v>
      </c>
      <c r="AF82" s="540">
        <v>0</v>
      </c>
      <c r="AG82" s="540">
        <v>145100</v>
      </c>
      <c r="AH82" s="540">
        <v>0</v>
      </c>
      <c r="AI82" s="540">
        <v>0</v>
      </c>
      <c r="AJ82" s="540">
        <v>0</v>
      </c>
      <c r="AK82" s="540">
        <v>15462</v>
      </c>
      <c r="AL82" s="540">
        <v>193503</v>
      </c>
      <c r="AM82" s="540">
        <v>0</v>
      </c>
      <c r="AN82" s="540">
        <v>0</v>
      </c>
      <c r="AO82" s="540">
        <v>0</v>
      </c>
      <c r="AP82" s="540">
        <v>0</v>
      </c>
      <c r="AQ82" s="540">
        <v>0</v>
      </c>
      <c r="AR82" s="540">
        <v>0</v>
      </c>
      <c r="AS82" s="540">
        <v>0</v>
      </c>
      <c r="AT82" s="540">
        <v>2061992</v>
      </c>
      <c r="AU82" s="540">
        <v>1212309.7220482726</v>
      </c>
      <c r="AV82" s="540">
        <v>354065</v>
      </c>
      <c r="AW82" s="540">
        <v>676155.27405638865</v>
      </c>
      <c r="AX82" s="541">
        <v>3628366.7220482724</v>
      </c>
      <c r="AY82" s="541">
        <v>3419401.7220482724</v>
      </c>
      <c r="AZ82" s="541">
        <v>4955</v>
      </c>
      <c r="BA82" s="541">
        <v>2655880</v>
      </c>
      <c r="BB82" s="541">
        <v>0</v>
      </c>
      <c r="BC82" s="541">
        <v>0</v>
      </c>
      <c r="BD82" s="541">
        <v>3628366.7220482724</v>
      </c>
      <c r="BE82" s="540">
        <v>3628366.7220482728</v>
      </c>
      <c r="BF82" s="540">
        <v>0</v>
      </c>
      <c r="BG82" s="541">
        <v>2864845</v>
      </c>
      <c r="BH82" s="541">
        <v>2510780</v>
      </c>
      <c r="BI82" s="540">
        <v>3274301.7220482724</v>
      </c>
      <c r="BJ82" s="540">
        <v>6108.7718694930454</v>
      </c>
      <c r="BK82" s="540">
        <v>5874.8468703703702</v>
      </c>
      <c r="BL82" s="542">
        <v>3.9818058969752823E-2</v>
      </c>
      <c r="BM82" s="542">
        <v>-2.870466118077385E-2</v>
      </c>
      <c r="BN82" s="540">
        <v>-90388.622051960352</v>
      </c>
      <c r="BO82" s="541">
        <v>3537978.0999963121</v>
      </c>
      <c r="BP82" s="541">
        <v>6210.845335814015</v>
      </c>
      <c r="BQ82" s="541" t="s">
        <v>771</v>
      </c>
      <c r="BR82" s="541">
        <v>6600.7054104408808</v>
      </c>
      <c r="BS82" s="542">
        <v>1.2636204833648801E-2</v>
      </c>
      <c r="BT82" s="540">
        <v>0</v>
      </c>
      <c r="BU82" s="540">
        <v>3537978.0999963121</v>
      </c>
      <c r="BV82" s="540">
        <v>0</v>
      </c>
      <c r="BW82" s="540">
        <v>3537978.0999963121</v>
      </c>
      <c r="BX82" s="540">
        <v>15462</v>
      </c>
      <c r="BY82" s="540">
        <v>3522516.0999963121</v>
      </c>
      <c r="CA82" s="10"/>
    </row>
    <row r="83" spans="1:79" ht="14.5" x14ac:dyDescent="0.35">
      <c r="A83" s="537">
        <v>145760</v>
      </c>
      <c r="B83" s="537">
        <v>8313546</v>
      </c>
      <c r="C83" s="538" t="s">
        <v>134</v>
      </c>
      <c r="D83" s="537">
        <v>145760</v>
      </c>
      <c r="E83" s="539">
        <v>615</v>
      </c>
      <c r="F83" s="539">
        <v>615</v>
      </c>
      <c r="G83" s="539">
        <v>0</v>
      </c>
      <c r="H83" s="540">
        <v>2365905</v>
      </c>
      <c r="I83" s="540">
        <v>0</v>
      </c>
      <c r="J83" s="540">
        <v>0</v>
      </c>
      <c r="K83" s="540">
        <v>186119.99999999994</v>
      </c>
      <c r="L83" s="540">
        <v>0</v>
      </c>
      <c r="M83" s="540">
        <v>403859.99999999988</v>
      </c>
      <c r="N83" s="540">
        <v>0</v>
      </c>
      <c r="O83" s="540">
        <v>2349.9999999999977</v>
      </c>
      <c r="P83" s="540">
        <v>41610.000000000029</v>
      </c>
      <c r="Q83" s="540">
        <v>68974.999999999942</v>
      </c>
      <c r="R83" s="540">
        <v>9799.9999999999909</v>
      </c>
      <c r="S83" s="540">
        <v>80080.000000000116</v>
      </c>
      <c r="T83" s="540">
        <v>4794.9999999999955</v>
      </c>
      <c r="U83" s="540">
        <v>0</v>
      </c>
      <c r="V83" s="540">
        <v>0</v>
      </c>
      <c r="W83" s="540">
        <v>0</v>
      </c>
      <c r="X83" s="540">
        <v>0</v>
      </c>
      <c r="Y83" s="540">
        <v>0</v>
      </c>
      <c r="Z83" s="540">
        <v>0</v>
      </c>
      <c r="AA83" s="540">
        <v>127728.5377358491</v>
      </c>
      <c r="AB83" s="540">
        <v>0</v>
      </c>
      <c r="AC83" s="540">
        <v>299032.62407213985</v>
      </c>
      <c r="AD83" s="540">
        <v>0</v>
      </c>
      <c r="AE83" s="540">
        <v>8853.7964169381157</v>
      </c>
      <c r="AF83" s="540">
        <v>0</v>
      </c>
      <c r="AG83" s="540">
        <v>145100</v>
      </c>
      <c r="AH83" s="540">
        <v>0</v>
      </c>
      <c r="AI83" s="540">
        <v>0</v>
      </c>
      <c r="AJ83" s="540">
        <v>0</v>
      </c>
      <c r="AK83" s="540">
        <v>19251</v>
      </c>
      <c r="AL83" s="540">
        <v>0</v>
      </c>
      <c r="AM83" s="540">
        <v>0</v>
      </c>
      <c r="AN83" s="540">
        <v>0</v>
      </c>
      <c r="AO83" s="540">
        <v>0</v>
      </c>
      <c r="AP83" s="540">
        <v>0</v>
      </c>
      <c r="AQ83" s="540">
        <v>0</v>
      </c>
      <c r="AR83" s="540">
        <v>0</v>
      </c>
      <c r="AS83" s="540">
        <v>0</v>
      </c>
      <c r="AT83" s="540">
        <v>2365905</v>
      </c>
      <c r="AU83" s="540">
        <v>1233204.9582249268</v>
      </c>
      <c r="AV83" s="540">
        <v>164351</v>
      </c>
      <c r="AW83" s="540">
        <v>721506.17204341083</v>
      </c>
      <c r="AX83" s="541">
        <v>3763460.9582249271</v>
      </c>
      <c r="AY83" s="541">
        <v>3744209.9582249271</v>
      </c>
      <c r="AZ83" s="541">
        <v>4955</v>
      </c>
      <c r="BA83" s="541">
        <v>3047325</v>
      </c>
      <c r="BB83" s="541">
        <v>0</v>
      </c>
      <c r="BC83" s="541">
        <v>0</v>
      </c>
      <c r="BD83" s="541">
        <v>3763460.9582249271</v>
      </c>
      <c r="BE83" s="540">
        <v>3763460.9582249271</v>
      </c>
      <c r="BF83" s="540">
        <v>0</v>
      </c>
      <c r="BG83" s="541">
        <v>3066576</v>
      </c>
      <c r="BH83" s="541">
        <v>2902225</v>
      </c>
      <c r="BI83" s="540">
        <v>3599109.9582249271</v>
      </c>
      <c r="BJ83" s="540">
        <v>5852.2113141868731</v>
      </c>
      <c r="BK83" s="540">
        <v>5620.7563079470192</v>
      </c>
      <c r="BL83" s="542">
        <v>4.117862322417476E-2</v>
      </c>
      <c r="BM83" s="542">
        <v>-2.9839371768961745E-2</v>
      </c>
      <c r="BN83" s="540">
        <v>-103147.69981377428</v>
      </c>
      <c r="BO83" s="541">
        <v>3660313.2584111528</v>
      </c>
      <c r="BP83" s="541">
        <v>5920.4264364408991</v>
      </c>
      <c r="BQ83" s="541" t="s">
        <v>771</v>
      </c>
      <c r="BR83" s="541">
        <v>5951.7288754652891</v>
      </c>
      <c r="BS83" s="542">
        <v>9.9897031881481801E-3</v>
      </c>
      <c r="BT83" s="540">
        <v>0</v>
      </c>
      <c r="BU83" s="540">
        <v>3660313.2584111528</v>
      </c>
      <c r="BV83" s="540">
        <v>0</v>
      </c>
      <c r="BW83" s="540">
        <v>3660313.2584111528</v>
      </c>
      <c r="BX83" s="540">
        <v>19251</v>
      </c>
      <c r="BY83" s="540">
        <v>3641062.2584111528</v>
      </c>
      <c r="CA83" s="10"/>
    </row>
    <row r="84" spans="1:79" ht="14.5" x14ac:dyDescent="0.35">
      <c r="A84" s="537">
        <v>138776</v>
      </c>
      <c r="B84" s="537">
        <v>8314000</v>
      </c>
      <c r="C84" s="538" t="s">
        <v>135</v>
      </c>
      <c r="D84" s="537">
        <v>138776</v>
      </c>
      <c r="E84" s="539">
        <v>421</v>
      </c>
      <c r="F84" s="539">
        <v>421</v>
      </c>
      <c r="G84" s="539">
        <v>0</v>
      </c>
      <c r="H84" s="540">
        <v>1619587</v>
      </c>
      <c r="I84" s="540">
        <v>0</v>
      </c>
      <c r="J84" s="540">
        <v>0</v>
      </c>
      <c r="K84" s="540">
        <v>110384.99999999997</v>
      </c>
      <c r="L84" s="540">
        <v>0</v>
      </c>
      <c r="M84" s="540">
        <v>237439.99999999991</v>
      </c>
      <c r="N84" s="540">
        <v>0</v>
      </c>
      <c r="O84" s="540">
        <v>9940.83732057421</v>
      </c>
      <c r="P84" s="540">
        <v>18370.909090909099</v>
      </c>
      <c r="Q84" s="540">
        <v>42578.409090909037</v>
      </c>
      <c r="R84" s="540">
        <v>33559.138755980952</v>
      </c>
      <c r="S84" s="540">
        <v>27234.066985645914</v>
      </c>
      <c r="T84" s="540">
        <v>17937.822966507163</v>
      </c>
      <c r="U84" s="540">
        <v>0</v>
      </c>
      <c r="V84" s="540">
        <v>0</v>
      </c>
      <c r="W84" s="540">
        <v>0</v>
      </c>
      <c r="X84" s="540">
        <v>0</v>
      </c>
      <c r="Y84" s="540">
        <v>0</v>
      </c>
      <c r="Z84" s="540">
        <v>0</v>
      </c>
      <c r="AA84" s="540">
        <v>124206.66204986139</v>
      </c>
      <c r="AB84" s="540">
        <v>0</v>
      </c>
      <c r="AC84" s="540">
        <v>146904.30995659085</v>
      </c>
      <c r="AD84" s="540">
        <v>0</v>
      </c>
      <c r="AE84" s="540">
        <v>18084.100000000151</v>
      </c>
      <c r="AF84" s="540">
        <v>0</v>
      </c>
      <c r="AG84" s="540">
        <v>145100</v>
      </c>
      <c r="AH84" s="540">
        <v>0</v>
      </c>
      <c r="AI84" s="540">
        <v>0</v>
      </c>
      <c r="AJ84" s="540">
        <v>0</v>
      </c>
      <c r="AK84" s="540">
        <v>12390</v>
      </c>
      <c r="AL84" s="540">
        <v>0</v>
      </c>
      <c r="AM84" s="540">
        <v>0</v>
      </c>
      <c r="AN84" s="540">
        <v>0</v>
      </c>
      <c r="AO84" s="540">
        <v>0</v>
      </c>
      <c r="AP84" s="540">
        <v>0</v>
      </c>
      <c r="AQ84" s="540">
        <v>0</v>
      </c>
      <c r="AR84" s="540">
        <v>0</v>
      </c>
      <c r="AS84" s="540">
        <v>0</v>
      </c>
      <c r="AT84" s="540">
        <v>1619587</v>
      </c>
      <c r="AU84" s="540">
        <v>786641.25621697865</v>
      </c>
      <c r="AV84" s="540">
        <v>157490</v>
      </c>
      <c r="AW84" s="540">
        <v>484905.72804618068</v>
      </c>
      <c r="AX84" s="541">
        <v>2563718.2562169787</v>
      </c>
      <c r="AY84" s="541">
        <v>2551328.2562169787</v>
      </c>
      <c r="AZ84" s="541">
        <v>4955</v>
      </c>
      <c r="BA84" s="541">
        <v>2086055</v>
      </c>
      <c r="BB84" s="541">
        <v>0</v>
      </c>
      <c r="BC84" s="541">
        <v>0</v>
      </c>
      <c r="BD84" s="541">
        <v>2563718.2562169787</v>
      </c>
      <c r="BE84" s="540">
        <v>2563718.2562169782</v>
      </c>
      <c r="BF84" s="540">
        <v>0</v>
      </c>
      <c r="BG84" s="541">
        <v>2098445</v>
      </c>
      <c r="BH84" s="541">
        <v>1940955</v>
      </c>
      <c r="BI84" s="540">
        <v>2406228.2562169787</v>
      </c>
      <c r="BJ84" s="540">
        <v>5715.5065468336788</v>
      </c>
      <c r="BK84" s="540">
        <v>5435.0324343675429</v>
      </c>
      <c r="BL84" s="542">
        <v>5.1604864525297681E-2</v>
      </c>
      <c r="BM84" s="542">
        <v>-3.8534857014098263E-2</v>
      </c>
      <c r="BN84" s="540">
        <v>-88173.481242367998</v>
      </c>
      <c r="BO84" s="541">
        <v>2475544.7749746107</v>
      </c>
      <c r="BP84" s="541">
        <v>5850.7239310560826</v>
      </c>
      <c r="BQ84" s="541" t="s">
        <v>771</v>
      </c>
      <c r="BR84" s="541">
        <v>5880.1538597971748</v>
      </c>
      <c r="BS84" s="542">
        <v>1.1917137672685874E-2</v>
      </c>
      <c r="BT84" s="540">
        <v>0</v>
      </c>
      <c r="BU84" s="540">
        <v>2475544.7749746107</v>
      </c>
      <c r="BV84" s="540">
        <v>0</v>
      </c>
      <c r="BW84" s="540">
        <v>2475544.7749746107</v>
      </c>
      <c r="BX84" s="540">
        <v>12390</v>
      </c>
      <c r="BY84" s="540">
        <v>2463154.7749746107</v>
      </c>
      <c r="CA84" s="10"/>
    </row>
    <row r="85" spans="1:79" ht="14.5" x14ac:dyDescent="0.35">
      <c r="A85" s="537">
        <v>146847</v>
      </c>
      <c r="B85" s="537">
        <v>8315201</v>
      </c>
      <c r="C85" s="538" t="s">
        <v>136</v>
      </c>
      <c r="D85" s="537">
        <v>146847</v>
      </c>
      <c r="E85" s="539">
        <v>266</v>
      </c>
      <c r="F85" s="539">
        <v>266</v>
      </c>
      <c r="G85" s="539">
        <v>0</v>
      </c>
      <c r="H85" s="540">
        <v>1023302</v>
      </c>
      <c r="I85" s="540">
        <v>0</v>
      </c>
      <c r="J85" s="540">
        <v>0</v>
      </c>
      <c r="K85" s="540">
        <v>37620.000000000036</v>
      </c>
      <c r="L85" s="540">
        <v>0</v>
      </c>
      <c r="M85" s="540">
        <v>80560.000000000073</v>
      </c>
      <c r="N85" s="540">
        <v>0</v>
      </c>
      <c r="O85" s="540">
        <v>4464.9999999999982</v>
      </c>
      <c r="P85" s="540">
        <v>8549.9999999999964</v>
      </c>
      <c r="Q85" s="540">
        <v>0</v>
      </c>
      <c r="R85" s="540">
        <v>14699.999999999993</v>
      </c>
      <c r="S85" s="540">
        <v>519.99999999999977</v>
      </c>
      <c r="T85" s="540">
        <v>2054.9999999999995</v>
      </c>
      <c r="U85" s="540">
        <v>0</v>
      </c>
      <c r="V85" s="540">
        <v>0</v>
      </c>
      <c r="W85" s="540">
        <v>0</v>
      </c>
      <c r="X85" s="540">
        <v>0</v>
      </c>
      <c r="Y85" s="540">
        <v>0</v>
      </c>
      <c r="Z85" s="540">
        <v>0</v>
      </c>
      <c r="AA85" s="540">
        <v>10017.088607594933</v>
      </c>
      <c r="AB85" s="540">
        <v>0</v>
      </c>
      <c r="AC85" s="540">
        <v>67354.676870748299</v>
      </c>
      <c r="AD85" s="540">
        <v>0</v>
      </c>
      <c r="AE85" s="540">
        <v>7758.5999999999922</v>
      </c>
      <c r="AF85" s="540">
        <v>0</v>
      </c>
      <c r="AG85" s="540">
        <v>145100</v>
      </c>
      <c r="AH85" s="540">
        <v>0</v>
      </c>
      <c r="AI85" s="540">
        <v>0</v>
      </c>
      <c r="AJ85" s="540">
        <v>0</v>
      </c>
      <c r="AK85" s="540">
        <v>6579</v>
      </c>
      <c r="AL85" s="540">
        <v>0</v>
      </c>
      <c r="AM85" s="540">
        <v>0</v>
      </c>
      <c r="AN85" s="540">
        <v>0</v>
      </c>
      <c r="AO85" s="540">
        <v>0</v>
      </c>
      <c r="AP85" s="540">
        <v>0</v>
      </c>
      <c r="AQ85" s="540">
        <v>0</v>
      </c>
      <c r="AR85" s="540">
        <v>0</v>
      </c>
      <c r="AS85" s="540">
        <v>0</v>
      </c>
      <c r="AT85" s="540">
        <v>1023302</v>
      </c>
      <c r="AU85" s="540">
        <v>233600.36547834336</v>
      </c>
      <c r="AV85" s="540">
        <v>151679</v>
      </c>
      <c r="AW85" s="540">
        <v>208624.24227815814</v>
      </c>
      <c r="AX85" s="541">
        <v>1408581.3654783433</v>
      </c>
      <c r="AY85" s="541">
        <v>1402002.3654783433</v>
      </c>
      <c r="AZ85" s="541">
        <v>4955</v>
      </c>
      <c r="BA85" s="541">
        <v>1318030</v>
      </c>
      <c r="BB85" s="541">
        <v>0</v>
      </c>
      <c r="BC85" s="541">
        <v>0</v>
      </c>
      <c r="BD85" s="541">
        <v>1408581.3654783433</v>
      </c>
      <c r="BE85" s="540">
        <v>1408581.3654783433</v>
      </c>
      <c r="BF85" s="540">
        <v>0</v>
      </c>
      <c r="BG85" s="541">
        <v>1324609</v>
      </c>
      <c r="BH85" s="541">
        <v>1172930</v>
      </c>
      <c r="BI85" s="540">
        <v>1256902.3654783433</v>
      </c>
      <c r="BJ85" s="540">
        <v>4725.196862700539</v>
      </c>
      <c r="BK85" s="540">
        <v>4640.7315162454879</v>
      </c>
      <c r="BL85" s="542">
        <v>1.8200869013725331E-2</v>
      </c>
      <c r="BM85" s="542">
        <v>-1.0675924757446926E-2</v>
      </c>
      <c r="BN85" s="540">
        <v>-13178.730729528545</v>
      </c>
      <c r="BO85" s="541">
        <v>1395402.6347488149</v>
      </c>
      <c r="BP85" s="541">
        <v>5221.1414840181005</v>
      </c>
      <c r="BQ85" s="541" t="s">
        <v>771</v>
      </c>
      <c r="BR85" s="541">
        <v>5245.8745667248677</v>
      </c>
      <c r="BS85" s="542">
        <v>1.1212619006722102E-2</v>
      </c>
      <c r="BT85" s="540">
        <v>0</v>
      </c>
      <c r="BU85" s="540">
        <v>1395402.6347488149</v>
      </c>
      <c r="BV85" s="540">
        <v>0</v>
      </c>
      <c r="BW85" s="540">
        <v>1395402.6347488149</v>
      </c>
      <c r="BX85" s="540">
        <v>6579</v>
      </c>
      <c r="BY85" s="540">
        <v>1388823.6347488149</v>
      </c>
      <c r="CA85" s="10"/>
    </row>
    <row r="86" spans="1:79" ht="14.5" x14ac:dyDescent="0.35">
      <c r="A86" s="537">
        <v>146500</v>
      </c>
      <c r="B86" s="537">
        <v>8315203</v>
      </c>
      <c r="C86" s="538" t="s">
        <v>137</v>
      </c>
      <c r="D86" s="537">
        <v>146500</v>
      </c>
      <c r="E86" s="539">
        <v>452</v>
      </c>
      <c r="F86" s="539">
        <v>452</v>
      </c>
      <c r="G86" s="539">
        <v>0</v>
      </c>
      <c r="H86" s="540">
        <v>1738844</v>
      </c>
      <c r="I86" s="540">
        <v>0</v>
      </c>
      <c r="J86" s="540">
        <v>0</v>
      </c>
      <c r="K86" s="540">
        <v>60390.000000000058</v>
      </c>
      <c r="L86" s="540">
        <v>0</v>
      </c>
      <c r="M86" s="540">
        <v>133560.00000000015</v>
      </c>
      <c r="N86" s="540">
        <v>0</v>
      </c>
      <c r="O86" s="540">
        <v>14398.711111111159</v>
      </c>
      <c r="P86" s="540">
        <v>286.26666666666637</v>
      </c>
      <c r="Q86" s="540">
        <v>893.95555555555461</v>
      </c>
      <c r="R86" s="540">
        <v>0</v>
      </c>
      <c r="S86" s="540">
        <v>6267.7333333333418</v>
      </c>
      <c r="T86" s="540">
        <v>2752.1777777777784</v>
      </c>
      <c r="U86" s="540">
        <v>0</v>
      </c>
      <c r="V86" s="540">
        <v>0</v>
      </c>
      <c r="W86" s="540">
        <v>0</v>
      </c>
      <c r="X86" s="540">
        <v>0</v>
      </c>
      <c r="Y86" s="540">
        <v>0</v>
      </c>
      <c r="Z86" s="540">
        <v>0</v>
      </c>
      <c r="AA86" s="540">
        <v>10115.000000000015</v>
      </c>
      <c r="AB86" s="540">
        <v>0</v>
      </c>
      <c r="AC86" s="540">
        <v>140013.82837367215</v>
      </c>
      <c r="AD86" s="540">
        <v>0</v>
      </c>
      <c r="AE86" s="540">
        <v>0</v>
      </c>
      <c r="AF86" s="540">
        <v>0</v>
      </c>
      <c r="AG86" s="540">
        <v>145100</v>
      </c>
      <c r="AH86" s="540">
        <v>0</v>
      </c>
      <c r="AI86" s="540">
        <v>0</v>
      </c>
      <c r="AJ86" s="540">
        <v>0</v>
      </c>
      <c r="AK86" s="540">
        <v>7270</v>
      </c>
      <c r="AL86" s="540">
        <v>0</v>
      </c>
      <c r="AM86" s="540">
        <v>0</v>
      </c>
      <c r="AN86" s="540">
        <v>0</v>
      </c>
      <c r="AO86" s="540">
        <v>0</v>
      </c>
      <c r="AP86" s="540">
        <v>0</v>
      </c>
      <c r="AQ86" s="540">
        <v>0</v>
      </c>
      <c r="AR86" s="540">
        <v>0</v>
      </c>
      <c r="AS86" s="540">
        <v>0</v>
      </c>
      <c r="AT86" s="540">
        <v>1738844</v>
      </c>
      <c r="AU86" s="540">
        <v>368677.67281811684</v>
      </c>
      <c r="AV86" s="540">
        <v>152370</v>
      </c>
      <c r="AW86" s="540">
        <v>334905.26481717598</v>
      </c>
      <c r="AX86" s="541">
        <v>2259891.6728181168</v>
      </c>
      <c r="AY86" s="541">
        <v>2252621.6728181168</v>
      </c>
      <c r="AZ86" s="541">
        <v>4955</v>
      </c>
      <c r="BA86" s="541">
        <v>2239660</v>
      </c>
      <c r="BB86" s="541">
        <v>0</v>
      </c>
      <c r="BC86" s="541">
        <v>0</v>
      </c>
      <c r="BD86" s="541">
        <v>2259891.6728181168</v>
      </c>
      <c r="BE86" s="540">
        <v>2259891.6728181168</v>
      </c>
      <c r="BF86" s="540">
        <v>0</v>
      </c>
      <c r="BG86" s="541">
        <v>2246930</v>
      </c>
      <c r="BH86" s="541">
        <v>2094560</v>
      </c>
      <c r="BI86" s="540">
        <v>2107521.6728181168</v>
      </c>
      <c r="BJ86" s="540">
        <v>4662.6585681816741</v>
      </c>
      <c r="BK86" s="540">
        <v>4663.2693877551019</v>
      </c>
      <c r="BL86" s="542">
        <v>-1.3098526433657527E-4</v>
      </c>
      <c r="BM86" s="542">
        <v>1.3098526433657527E-4</v>
      </c>
      <c r="BN86" s="540">
        <v>276.09044718934825</v>
      </c>
      <c r="BO86" s="541">
        <v>2260167.7632653061</v>
      </c>
      <c r="BP86" s="541">
        <v>4984.2870868701466</v>
      </c>
      <c r="BQ86" s="541" t="s">
        <v>771</v>
      </c>
      <c r="BR86" s="541">
        <v>5000.3711576666065</v>
      </c>
      <c r="BS86" s="542">
        <v>5.255441169612407E-3</v>
      </c>
      <c r="BT86" s="540">
        <v>0</v>
      </c>
      <c r="BU86" s="540">
        <v>2260167.7632653061</v>
      </c>
      <c r="BV86" s="540">
        <v>0</v>
      </c>
      <c r="BW86" s="540">
        <v>2260167.7632653061</v>
      </c>
      <c r="BX86" s="540">
        <v>7270</v>
      </c>
      <c r="BY86" s="540">
        <v>2252897.7632653061</v>
      </c>
      <c r="CA86" s="10"/>
    </row>
    <row r="87" spans="1:79" ht="14.5" x14ac:dyDescent="0.35">
      <c r="A87" s="537">
        <v>143734</v>
      </c>
      <c r="B87" s="537">
        <v>8314004</v>
      </c>
      <c r="C87" s="538" t="s">
        <v>138</v>
      </c>
      <c r="D87" s="537">
        <v>143734</v>
      </c>
      <c r="E87" s="539">
        <v>904</v>
      </c>
      <c r="F87" s="539">
        <v>0</v>
      </c>
      <c r="G87" s="539">
        <v>904</v>
      </c>
      <c r="H87" s="540">
        <v>0</v>
      </c>
      <c r="I87" s="540">
        <v>2944146</v>
      </c>
      <c r="J87" s="540">
        <v>2206793</v>
      </c>
      <c r="K87" s="540">
        <v>0</v>
      </c>
      <c r="L87" s="540">
        <v>230174.99999999988</v>
      </c>
      <c r="M87" s="540">
        <v>0</v>
      </c>
      <c r="N87" s="540">
        <v>761950.00000000058</v>
      </c>
      <c r="O87" s="540">
        <v>0</v>
      </c>
      <c r="P87" s="540">
        <v>0</v>
      </c>
      <c r="Q87" s="540">
        <v>0</v>
      </c>
      <c r="R87" s="540">
        <v>0</v>
      </c>
      <c r="S87" s="540">
        <v>0</v>
      </c>
      <c r="T87" s="540">
        <v>0</v>
      </c>
      <c r="U87" s="540">
        <v>35779.157427937971</v>
      </c>
      <c r="V87" s="540">
        <v>105984.47893569837</v>
      </c>
      <c r="W87" s="540">
        <v>64913.614190687236</v>
      </c>
      <c r="X87" s="540">
        <v>82888.381374722885</v>
      </c>
      <c r="Y87" s="540">
        <v>93331.485587583084</v>
      </c>
      <c r="Z87" s="540">
        <v>94258.536585366193</v>
      </c>
      <c r="AA87" s="540">
        <v>0</v>
      </c>
      <c r="AB87" s="540">
        <v>89518.048780487778</v>
      </c>
      <c r="AC87" s="540">
        <v>0</v>
      </c>
      <c r="AD87" s="540">
        <v>461957.84823424974</v>
      </c>
      <c r="AE87" s="540">
        <v>0</v>
      </c>
      <c r="AF87" s="540">
        <v>0</v>
      </c>
      <c r="AG87" s="540">
        <v>145100</v>
      </c>
      <c r="AH87" s="540">
        <v>0</v>
      </c>
      <c r="AI87" s="540">
        <v>0</v>
      </c>
      <c r="AJ87" s="540">
        <v>0</v>
      </c>
      <c r="AK87" s="540">
        <v>42240</v>
      </c>
      <c r="AL87" s="540">
        <v>0</v>
      </c>
      <c r="AM87" s="540">
        <v>0</v>
      </c>
      <c r="AN87" s="540">
        <v>0</v>
      </c>
      <c r="AO87" s="540">
        <v>0</v>
      </c>
      <c r="AP87" s="540">
        <v>0</v>
      </c>
      <c r="AQ87" s="540">
        <v>0</v>
      </c>
      <c r="AR87" s="540">
        <v>0</v>
      </c>
      <c r="AS87" s="540">
        <v>0</v>
      </c>
      <c r="AT87" s="540">
        <v>5150939</v>
      </c>
      <c r="AU87" s="540">
        <v>2020756.5511167336</v>
      </c>
      <c r="AV87" s="540">
        <v>187340</v>
      </c>
      <c r="AW87" s="540">
        <v>1178783.2130630845</v>
      </c>
      <c r="AX87" s="541">
        <v>7359035.5511167338</v>
      </c>
      <c r="AY87" s="541">
        <v>7316795.5511167338</v>
      </c>
      <c r="AZ87" s="541">
        <v>6465</v>
      </c>
      <c r="BA87" s="541">
        <v>5844360</v>
      </c>
      <c r="BB87" s="541">
        <v>0</v>
      </c>
      <c r="BC87" s="541">
        <v>0</v>
      </c>
      <c r="BD87" s="541">
        <v>7359035.5511167338</v>
      </c>
      <c r="BE87" s="540">
        <v>0</v>
      </c>
      <c r="BF87" s="540">
        <v>7359035.5511167347</v>
      </c>
      <c r="BG87" s="541">
        <v>5886600</v>
      </c>
      <c r="BH87" s="541">
        <v>5699260</v>
      </c>
      <c r="BI87" s="540">
        <v>7171695.5511167338</v>
      </c>
      <c r="BJ87" s="540">
        <v>7933.2915388459442</v>
      </c>
      <c r="BK87" s="540">
        <v>7503.1156555555553</v>
      </c>
      <c r="BL87" s="542">
        <v>5.7332967135042406E-2</v>
      </c>
      <c r="BM87" s="542">
        <v>-4.3312094590625363E-2</v>
      </c>
      <c r="BN87" s="540">
        <v>-293777.99211803311</v>
      </c>
      <c r="BO87" s="541">
        <v>7065257.5589987002</v>
      </c>
      <c r="BP87" s="541">
        <v>7768.8247334056423</v>
      </c>
      <c r="BQ87" s="541" t="s">
        <v>771</v>
      </c>
      <c r="BR87" s="541">
        <v>7815.5503971224562</v>
      </c>
      <c r="BS87" s="542">
        <v>1.3522956612016079E-2</v>
      </c>
      <c r="BT87" s="540">
        <v>0</v>
      </c>
      <c r="BU87" s="540">
        <v>7065257.5589987002</v>
      </c>
      <c r="BV87" s="540">
        <v>0</v>
      </c>
      <c r="BW87" s="540">
        <v>7065257.5589987002</v>
      </c>
      <c r="BX87" s="540">
        <v>42240</v>
      </c>
      <c r="BY87" s="540">
        <v>7023017.5589987002</v>
      </c>
      <c r="CA87" s="10"/>
    </row>
    <row r="88" spans="1:79" ht="14.5" x14ac:dyDescent="0.35">
      <c r="A88" s="537">
        <v>143853</v>
      </c>
      <c r="B88" s="537">
        <v>8314005</v>
      </c>
      <c r="C88" s="538" t="s">
        <v>139</v>
      </c>
      <c r="D88" s="537">
        <v>143853</v>
      </c>
      <c r="E88" s="539">
        <v>1258</v>
      </c>
      <c r="F88" s="539">
        <v>0</v>
      </c>
      <c r="G88" s="539">
        <v>1258</v>
      </c>
      <c r="H88" s="540">
        <v>0</v>
      </c>
      <c r="I88" s="540">
        <v>4353866</v>
      </c>
      <c r="J88" s="540">
        <v>2781415</v>
      </c>
      <c r="K88" s="540">
        <v>0</v>
      </c>
      <c r="L88" s="540">
        <v>268785</v>
      </c>
      <c r="M88" s="540">
        <v>0</v>
      </c>
      <c r="N88" s="540">
        <v>934555.0000000007</v>
      </c>
      <c r="O88" s="540">
        <v>0</v>
      </c>
      <c r="P88" s="540">
        <v>0</v>
      </c>
      <c r="Q88" s="540">
        <v>0</v>
      </c>
      <c r="R88" s="540">
        <v>0</v>
      </c>
      <c r="S88" s="540">
        <v>0</v>
      </c>
      <c r="T88" s="540">
        <v>0</v>
      </c>
      <c r="U88" s="540">
        <v>59499.999999999854</v>
      </c>
      <c r="V88" s="540">
        <v>85050.000000000262</v>
      </c>
      <c r="W88" s="540">
        <v>3175</v>
      </c>
      <c r="X88" s="540">
        <v>88264.999999999884</v>
      </c>
      <c r="Y88" s="540">
        <v>154960.00000000006</v>
      </c>
      <c r="Z88" s="540">
        <v>141550.00000000017</v>
      </c>
      <c r="AA88" s="540">
        <v>0</v>
      </c>
      <c r="AB88" s="540">
        <v>33521.646778042872</v>
      </c>
      <c r="AC88" s="540">
        <v>0</v>
      </c>
      <c r="AD88" s="540">
        <v>558046.88580818055</v>
      </c>
      <c r="AE88" s="540">
        <v>0</v>
      </c>
      <c r="AF88" s="540">
        <v>0</v>
      </c>
      <c r="AG88" s="540">
        <v>145100</v>
      </c>
      <c r="AH88" s="540">
        <v>0</v>
      </c>
      <c r="AI88" s="540">
        <v>0</v>
      </c>
      <c r="AJ88" s="540">
        <v>0</v>
      </c>
      <c r="AK88" s="540">
        <v>30720</v>
      </c>
      <c r="AL88" s="540">
        <v>419920</v>
      </c>
      <c r="AM88" s="540">
        <v>0</v>
      </c>
      <c r="AN88" s="540">
        <v>0</v>
      </c>
      <c r="AO88" s="540">
        <v>0</v>
      </c>
      <c r="AP88" s="540">
        <v>0</v>
      </c>
      <c r="AQ88" s="540">
        <v>0</v>
      </c>
      <c r="AR88" s="540">
        <v>0</v>
      </c>
      <c r="AS88" s="540">
        <v>0</v>
      </c>
      <c r="AT88" s="540">
        <v>7135281</v>
      </c>
      <c r="AU88" s="540">
        <v>2327408.5325862244</v>
      </c>
      <c r="AV88" s="540">
        <v>595740</v>
      </c>
      <c r="AW88" s="540">
        <v>1467640.2567077444</v>
      </c>
      <c r="AX88" s="541">
        <v>10058429.532586224</v>
      </c>
      <c r="AY88" s="541">
        <v>9607789.5325862244</v>
      </c>
      <c r="AZ88" s="541">
        <v>6465</v>
      </c>
      <c r="BA88" s="541">
        <v>8132970</v>
      </c>
      <c r="BB88" s="541">
        <v>0</v>
      </c>
      <c r="BC88" s="541">
        <v>0</v>
      </c>
      <c r="BD88" s="541">
        <v>10058429.532586224</v>
      </c>
      <c r="BE88" s="540">
        <v>0</v>
      </c>
      <c r="BF88" s="540">
        <v>10058429.532586224</v>
      </c>
      <c r="BG88" s="541">
        <v>8583610</v>
      </c>
      <c r="BH88" s="541">
        <v>7987870</v>
      </c>
      <c r="BI88" s="540">
        <v>9462689.5325862244</v>
      </c>
      <c r="BJ88" s="540">
        <v>7522.0107572227535</v>
      </c>
      <c r="BK88" s="540">
        <v>7446.4891796200354</v>
      </c>
      <c r="BL88" s="542">
        <v>1.0141903893368926E-2</v>
      </c>
      <c r="BM88" s="542">
        <v>-3.9547478470696841E-3</v>
      </c>
      <c r="BN88" s="540">
        <v>-37046.825710573183</v>
      </c>
      <c r="BO88" s="541">
        <v>10021382.706875652</v>
      </c>
      <c r="BP88" s="541">
        <v>7607.9035825720603</v>
      </c>
      <c r="BQ88" s="541" t="s">
        <v>771</v>
      </c>
      <c r="BR88" s="541">
        <v>7966.122978438515</v>
      </c>
      <c r="BS88" s="542">
        <v>6.5040521940429308E-4</v>
      </c>
      <c r="BT88" s="540">
        <v>0</v>
      </c>
      <c r="BU88" s="540">
        <v>10021382.706875652</v>
      </c>
      <c r="BV88" s="540">
        <v>0</v>
      </c>
      <c r="BW88" s="540">
        <v>10021382.706875652</v>
      </c>
      <c r="BX88" s="540">
        <v>30720</v>
      </c>
      <c r="BY88" s="540">
        <v>9990662.7068756521</v>
      </c>
      <c r="CA88" s="10"/>
    </row>
    <row r="89" spans="1:79" ht="14.5" x14ac:dyDescent="0.35">
      <c r="A89" s="537">
        <v>143934</v>
      </c>
      <c r="B89" s="537">
        <v>8314006</v>
      </c>
      <c r="C89" s="538" t="s">
        <v>140</v>
      </c>
      <c r="D89" s="537">
        <v>143934</v>
      </c>
      <c r="E89" s="539">
        <v>1026</v>
      </c>
      <c r="F89" s="539">
        <v>0</v>
      </c>
      <c r="G89" s="539">
        <v>1026</v>
      </c>
      <c r="H89" s="540">
        <v>0</v>
      </c>
      <c r="I89" s="540">
        <v>3421282</v>
      </c>
      <c r="J89" s="540">
        <v>2414635</v>
      </c>
      <c r="K89" s="540">
        <v>0</v>
      </c>
      <c r="L89" s="540">
        <v>171269.99999999991</v>
      </c>
      <c r="M89" s="540">
        <v>0</v>
      </c>
      <c r="N89" s="540">
        <v>600230.00000000058</v>
      </c>
      <c r="O89" s="540">
        <v>0</v>
      </c>
      <c r="P89" s="540">
        <v>0</v>
      </c>
      <c r="Q89" s="540">
        <v>0</v>
      </c>
      <c r="R89" s="540">
        <v>0</v>
      </c>
      <c r="S89" s="540">
        <v>0</v>
      </c>
      <c r="T89" s="540">
        <v>0</v>
      </c>
      <c r="U89" s="540">
        <v>47306.107317073183</v>
      </c>
      <c r="V89" s="540">
        <v>52250.926829268254</v>
      </c>
      <c r="W89" s="540">
        <v>55934.517073170755</v>
      </c>
      <c r="X89" s="540">
        <v>15304.917073170704</v>
      </c>
      <c r="Y89" s="540">
        <v>26846.165853658538</v>
      </c>
      <c r="Z89" s="540">
        <v>69417.658536585324</v>
      </c>
      <c r="AA89" s="540">
        <v>0</v>
      </c>
      <c r="AB89" s="540">
        <v>54817.714285714268</v>
      </c>
      <c r="AC89" s="540">
        <v>0</v>
      </c>
      <c r="AD89" s="540">
        <v>444234.90125276742</v>
      </c>
      <c r="AE89" s="540">
        <v>0</v>
      </c>
      <c r="AF89" s="540">
        <v>0</v>
      </c>
      <c r="AG89" s="540">
        <v>145100</v>
      </c>
      <c r="AH89" s="540">
        <v>0</v>
      </c>
      <c r="AI89" s="540">
        <v>0</v>
      </c>
      <c r="AJ89" s="540">
        <v>0</v>
      </c>
      <c r="AK89" s="540">
        <v>26880</v>
      </c>
      <c r="AL89" s="540">
        <v>0</v>
      </c>
      <c r="AM89" s="540">
        <v>0</v>
      </c>
      <c r="AN89" s="540">
        <v>0</v>
      </c>
      <c r="AO89" s="540">
        <v>0</v>
      </c>
      <c r="AP89" s="540">
        <v>0</v>
      </c>
      <c r="AQ89" s="540">
        <v>0</v>
      </c>
      <c r="AR89" s="540">
        <v>0</v>
      </c>
      <c r="AS89" s="540">
        <v>0</v>
      </c>
      <c r="AT89" s="540">
        <v>5835917</v>
      </c>
      <c r="AU89" s="540">
        <v>1537612.9082214087</v>
      </c>
      <c r="AV89" s="540">
        <v>171980</v>
      </c>
      <c r="AW89" s="540">
        <v>1071560.1078961778</v>
      </c>
      <c r="AX89" s="541">
        <v>7545509.9082214087</v>
      </c>
      <c r="AY89" s="541">
        <v>7518629.9082214087</v>
      </c>
      <c r="AZ89" s="541">
        <v>6465</v>
      </c>
      <c r="BA89" s="541">
        <v>6633090</v>
      </c>
      <c r="BB89" s="541">
        <v>0</v>
      </c>
      <c r="BC89" s="541">
        <v>0</v>
      </c>
      <c r="BD89" s="541">
        <v>7545509.9082214087</v>
      </c>
      <c r="BE89" s="540">
        <v>0</v>
      </c>
      <c r="BF89" s="540">
        <v>7545509.9082214097</v>
      </c>
      <c r="BG89" s="541">
        <v>6659970</v>
      </c>
      <c r="BH89" s="541">
        <v>6487990</v>
      </c>
      <c r="BI89" s="540">
        <v>7373529.9082214087</v>
      </c>
      <c r="BJ89" s="540">
        <v>7186.6763238025424</v>
      </c>
      <c r="BK89" s="540">
        <v>7010.350898661568</v>
      </c>
      <c r="BL89" s="542">
        <v>2.5152153963454077E-2</v>
      </c>
      <c r="BM89" s="542">
        <v>-1.6473296405520699E-2</v>
      </c>
      <c r="BN89" s="540">
        <v>-118486.16155512977</v>
      </c>
      <c r="BO89" s="541">
        <v>7427023.7466662787</v>
      </c>
      <c r="BP89" s="541">
        <v>7212.6157374915001</v>
      </c>
      <c r="BQ89" s="541" t="s">
        <v>771</v>
      </c>
      <c r="BR89" s="541">
        <v>7238.8145679008567</v>
      </c>
      <c r="BS89" s="542">
        <v>8.9266782832961855E-3</v>
      </c>
      <c r="BT89" s="540">
        <v>0</v>
      </c>
      <c r="BU89" s="540">
        <v>7427023.7466662787</v>
      </c>
      <c r="BV89" s="540">
        <v>0</v>
      </c>
      <c r="BW89" s="540">
        <v>7427023.7466662787</v>
      </c>
      <c r="BX89" s="540">
        <v>26880</v>
      </c>
      <c r="BY89" s="540">
        <v>7400143.7466662787</v>
      </c>
      <c r="CA89" s="10"/>
    </row>
    <row r="90" spans="1:79" ht="14.5" x14ac:dyDescent="0.35">
      <c r="A90" s="537">
        <v>144066</v>
      </c>
      <c r="B90" s="537">
        <v>8314007</v>
      </c>
      <c r="C90" s="538" t="s">
        <v>141</v>
      </c>
      <c r="D90" s="537">
        <v>144066</v>
      </c>
      <c r="E90" s="539">
        <v>705</v>
      </c>
      <c r="F90" s="539">
        <v>0</v>
      </c>
      <c r="G90" s="539">
        <v>705</v>
      </c>
      <c r="H90" s="540">
        <v>0</v>
      </c>
      <c r="I90" s="540">
        <v>2288084</v>
      </c>
      <c r="J90" s="540">
        <v>1729979</v>
      </c>
      <c r="K90" s="540">
        <v>0</v>
      </c>
      <c r="L90" s="540">
        <v>191070.00000000006</v>
      </c>
      <c r="M90" s="540">
        <v>0</v>
      </c>
      <c r="N90" s="540">
        <v>623555.00000000023</v>
      </c>
      <c r="O90" s="540">
        <v>0</v>
      </c>
      <c r="P90" s="540">
        <v>0</v>
      </c>
      <c r="Q90" s="540">
        <v>0</v>
      </c>
      <c r="R90" s="540">
        <v>0</v>
      </c>
      <c r="S90" s="540">
        <v>0</v>
      </c>
      <c r="T90" s="540">
        <v>0</v>
      </c>
      <c r="U90" s="540">
        <v>51000.000000000116</v>
      </c>
      <c r="V90" s="540">
        <v>47700</v>
      </c>
      <c r="W90" s="540">
        <v>31749.999999999982</v>
      </c>
      <c r="X90" s="540">
        <v>9034.99999999998</v>
      </c>
      <c r="Y90" s="540">
        <v>60345.000000000211</v>
      </c>
      <c r="Z90" s="540">
        <v>181450.00000000012</v>
      </c>
      <c r="AA90" s="540">
        <v>0</v>
      </c>
      <c r="AB90" s="540">
        <v>30305.000000000022</v>
      </c>
      <c r="AC90" s="540">
        <v>0</v>
      </c>
      <c r="AD90" s="540">
        <v>407664.4161424567</v>
      </c>
      <c r="AE90" s="540">
        <v>0</v>
      </c>
      <c r="AF90" s="540">
        <v>19195.154338549033</v>
      </c>
      <c r="AG90" s="540">
        <v>145100</v>
      </c>
      <c r="AH90" s="540">
        <v>0</v>
      </c>
      <c r="AI90" s="540">
        <v>0</v>
      </c>
      <c r="AJ90" s="540">
        <v>0</v>
      </c>
      <c r="AK90" s="540">
        <v>28672</v>
      </c>
      <c r="AL90" s="540">
        <v>31653</v>
      </c>
      <c r="AM90" s="540">
        <v>0</v>
      </c>
      <c r="AN90" s="540">
        <v>0</v>
      </c>
      <c r="AO90" s="540">
        <v>0</v>
      </c>
      <c r="AP90" s="540">
        <v>0</v>
      </c>
      <c r="AQ90" s="540">
        <v>0</v>
      </c>
      <c r="AR90" s="540">
        <v>0</v>
      </c>
      <c r="AS90" s="540">
        <v>0</v>
      </c>
      <c r="AT90" s="540">
        <v>4018063</v>
      </c>
      <c r="AU90" s="540">
        <v>1653069.5704810065</v>
      </c>
      <c r="AV90" s="540">
        <v>205425</v>
      </c>
      <c r="AW90" s="540">
        <v>955601.9292444915</v>
      </c>
      <c r="AX90" s="541">
        <v>5876557.5704810061</v>
      </c>
      <c r="AY90" s="541">
        <v>5816232.5704810061</v>
      </c>
      <c r="AZ90" s="541">
        <v>6465</v>
      </c>
      <c r="BA90" s="541">
        <v>4557825</v>
      </c>
      <c r="BB90" s="541">
        <v>0</v>
      </c>
      <c r="BC90" s="541">
        <v>0</v>
      </c>
      <c r="BD90" s="541">
        <v>5876557.5704810061</v>
      </c>
      <c r="BE90" s="540">
        <v>0</v>
      </c>
      <c r="BF90" s="540">
        <v>5876557.5704810051</v>
      </c>
      <c r="BG90" s="541">
        <v>4618150</v>
      </c>
      <c r="BH90" s="541">
        <v>4412725</v>
      </c>
      <c r="BI90" s="540">
        <v>5671132.5704810061</v>
      </c>
      <c r="BJ90" s="540">
        <v>8044.1596744411436</v>
      </c>
      <c r="BK90" s="540">
        <v>7912.9217966573815</v>
      </c>
      <c r="BL90" s="542">
        <v>1.6585261570410098E-2</v>
      </c>
      <c r="BM90" s="542">
        <v>-9.3285081497220205E-3</v>
      </c>
      <c r="BN90" s="540">
        <v>-52040.107605103141</v>
      </c>
      <c r="BO90" s="541">
        <v>5824517.4628759027</v>
      </c>
      <c r="BP90" s="541">
        <v>8176.1595218097909</v>
      </c>
      <c r="BQ90" s="541" t="s">
        <v>771</v>
      </c>
      <c r="BR90" s="541">
        <v>8261.7268976963151</v>
      </c>
      <c r="BS90" s="542">
        <v>7.8313670367862187E-3</v>
      </c>
      <c r="BT90" s="540">
        <v>0</v>
      </c>
      <c r="BU90" s="540">
        <v>5824517.4628759027</v>
      </c>
      <c r="BV90" s="540">
        <v>0</v>
      </c>
      <c r="BW90" s="540">
        <v>5824517.4628759027</v>
      </c>
      <c r="BX90" s="540">
        <v>28672</v>
      </c>
      <c r="BY90" s="540">
        <v>5795845.4628759027</v>
      </c>
      <c r="CA90" s="10"/>
    </row>
    <row r="91" spans="1:79" ht="14.5" x14ac:dyDescent="0.35">
      <c r="A91" s="537">
        <v>145132</v>
      </c>
      <c r="B91" s="537">
        <v>8314008</v>
      </c>
      <c r="C91" s="538" t="s">
        <v>142</v>
      </c>
      <c r="D91" s="537">
        <v>145132</v>
      </c>
      <c r="E91" s="539">
        <v>913</v>
      </c>
      <c r="F91" s="539">
        <v>0</v>
      </c>
      <c r="G91" s="539">
        <v>913</v>
      </c>
      <c r="H91" s="540">
        <v>0</v>
      </c>
      <c r="I91" s="540">
        <v>2944146</v>
      </c>
      <c r="J91" s="540">
        <v>2261810</v>
      </c>
      <c r="K91" s="540">
        <v>0</v>
      </c>
      <c r="L91" s="540">
        <v>244529.99999999983</v>
      </c>
      <c r="M91" s="540">
        <v>0</v>
      </c>
      <c r="N91" s="540">
        <v>794604.99999999965</v>
      </c>
      <c r="O91" s="540">
        <v>0</v>
      </c>
      <c r="P91" s="540">
        <v>0</v>
      </c>
      <c r="Q91" s="540">
        <v>0</v>
      </c>
      <c r="R91" s="540">
        <v>0</v>
      </c>
      <c r="S91" s="540">
        <v>0</v>
      </c>
      <c r="T91" s="540">
        <v>0</v>
      </c>
      <c r="U91" s="540">
        <v>13274.539473684197</v>
      </c>
      <c r="V91" s="540">
        <v>57212.66447368409</v>
      </c>
      <c r="W91" s="540">
        <v>84547.604166666468</v>
      </c>
      <c r="X91" s="540">
        <v>129411.74342105286</v>
      </c>
      <c r="Y91" s="540">
        <v>127534.6875</v>
      </c>
      <c r="Z91" s="540">
        <v>23776.041666666675</v>
      </c>
      <c r="AA91" s="540">
        <v>0</v>
      </c>
      <c r="AB91" s="540">
        <v>119011.25993189552</v>
      </c>
      <c r="AC91" s="540">
        <v>0</v>
      </c>
      <c r="AD91" s="540">
        <v>532409.59904564277</v>
      </c>
      <c r="AE91" s="540">
        <v>0</v>
      </c>
      <c r="AF91" s="540">
        <v>22680.583644346858</v>
      </c>
      <c r="AG91" s="540">
        <v>145100</v>
      </c>
      <c r="AH91" s="540">
        <v>0</v>
      </c>
      <c r="AI91" s="540">
        <v>0</v>
      </c>
      <c r="AJ91" s="540">
        <v>0</v>
      </c>
      <c r="AK91" s="540">
        <v>43096</v>
      </c>
      <c r="AL91" s="540">
        <v>0</v>
      </c>
      <c r="AM91" s="540">
        <v>0</v>
      </c>
      <c r="AN91" s="540">
        <v>0</v>
      </c>
      <c r="AO91" s="540">
        <v>0</v>
      </c>
      <c r="AP91" s="540">
        <v>0</v>
      </c>
      <c r="AQ91" s="540">
        <v>0</v>
      </c>
      <c r="AR91" s="540">
        <v>0</v>
      </c>
      <c r="AS91" s="540">
        <v>0</v>
      </c>
      <c r="AT91" s="540">
        <v>5205956</v>
      </c>
      <c r="AU91" s="540">
        <v>2148993.723323639</v>
      </c>
      <c r="AV91" s="540">
        <v>188196</v>
      </c>
      <c r="AW91" s="540">
        <v>1242722.5828866586</v>
      </c>
      <c r="AX91" s="541">
        <v>7543145.7233236395</v>
      </c>
      <c r="AY91" s="541">
        <v>7500049.7233236395</v>
      </c>
      <c r="AZ91" s="541">
        <v>6465</v>
      </c>
      <c r="BA91" s="541">
        <v>5902545</v>
      </c>
      <c r="BB91" s="541">
        <v>0</v>
      </c>
      <c r="BC91" s="541">
        <v>0</v>
      </c>
      <c r="BD91" s="541">
        <v>7543145.7233236395</v>
      </c>
      <c r="BE91" s="540">
        <v>0</v>
      </c>
      <c r="BF91" s="540">
        <v>7543145.7233236404</v>
      </c>
      <c r="BG91" s="541">
        <v>5945641</v>
      </c>
      <c r="BH91" s="541">
        <v>5757445</v>
      </c>
      <c r="BI91" s="540">
        <v>7354949.7233236395</v>
      </c>
      <c r="BJ91" s="540">
        <v>8055.8047352942385</v>
      </c>
      <c r="BK91" s="540">
        <v>7936.0262022703828</v>
      </c>
      <c r="BL91" s="542">
        <v>1.5093011284361539E-2</v>
      </c>
      <c r="BM91" s="542">
        <v>-8.0839714111575235E-3</v>
      </c>
      <c r="BN91" s="540">
        <v>-58573.157959801269</v>
      </c>
      <c r="BO91" s="541">
        <v>7484572.5653638383</v>
      </c>
      <c r="BP91" s="541">
        <v>8150.5767419100093</v>
      </c>
      <c r="BQ91" s="541" t="s">
        <v>771</v>
      </c>
      <c r="BR91" s="541">
        <v>8197.7793706066132</v>
      </c>
      <c r="BS91" s="542">
        <v>8.3068694202392823E-3</v>
      </c>
      <c r="BT91" s="540">
        <v>0</v>
      </c>
      <c r="BU91" s="540">
        <v>7484572.5653638383</v>
      </c>
      <c r="BV91" s="540">
        <v>0</v>
      </c>
      <c r="BW91" s="540">
        <v>7484572.5653638383</v>
      </c>
      <c r="BX91" s="540">
        <v>43096</v>
      </c>
      <c r="BY91" s="540">
        <v>7441476.5653638383</v>
      </c>
      <c r="CA91" s="10"/>
    </row>
    <row r="92" spans="1:79" ht="14.5" x14ac:dyDescent="0.35">
      <c r="A92" s="537">
        <v>147685</v>
      </c>
      <c r="B92" s="537">
        <v>8314010</v>
      </c>
      <c r="C92" s="538" t="s">
        <v>143</v>
      </c>
      <c r="D92" s="537">
        <v>147685</v>
      </c>
      <c r="E92" s="539">
        <v>321</v>
      </c>
      <c r="F92" s="539">
        <v>0</v>
      </c>
      <c r="G92" s="539">
        <v>321</v>
      </c>
      <c r="H92" s="540">
        <v>0</v>
      </c>
      <c r="I92" s="540">
        <v>634374</v>
      </c>
      <c r="J92" s="540">
        <v>1247052</v>
      </c>
      <c r="K92" s="540">
        <v>0</v>
      </c>
      <c r="L92" s="540">
        <v>51480.000000000007</v>
      </c>
      <c r="M92" s="540">
        <v>0</v>
      </c>
      <c r="N92" s="540">
        <v>200595.00000000017</v>
      </c>
      <c r="O92" s="540">
        <v>0</v>
      </c>
      <c r="P92" s="540">
        <v>0</v>
      </c>
      <c r="Q92" s="540">
        <v>0</v>
      </c>
      <c r="R92" s="540">
        <v>0</v>
      </c>
      <c r="S92" s="540">
        <v>0</v>
      </c>
      <c r="T92" s="540">
        <v>0</v>
      </c>
      <c r="U92" s="540">
        <v>12239.999999999958</v>
      </c>
      <c r="V92" s="540">
        <v>16649.999999999975</v>
      </c>
      <c r="W92" s="540">
        <v>13334.999999999991</v>
      </c>
      <c r="X92" s="540">
        <v>25714.99999999996</v>
      </c>
      <c r="Y92" s="540">
        <v>23839.999999999996</v>
      </c>
      <c r="Z92" s="540">
        <v>21849.999999999989</v>
      </c>
      <c r="AA92" s="540">
        <v>0</v>
      </c>
      <c r="AB92" s="540">
        <v>6522.2292993630508</v>
      </c>
      <c r="AC92" s="540">
        <v>0</v>
      </c>
      <c r="AD92" s="540">
        <v>135016.87583943311</v>
      </c>
      <c r="AE92" s="540">
        <v>0</v>
      </c>
      <c r="AF92" s="540">
        <v>0</v>
      </c>
      <c r="AG92" s="540">
        <v>145100</v>
      </c>
      <c r="AH92" s="540">
        <v>0</v>
      </c>
      <c r="AI92" s="540">
        <v>0</v>
      </c>
      <c r="AJ92" s="540">
        <v>0</v>
      </c>
      <c r="AK92" s="540">
        <v>30976</v>
      </c>
      <c r="AL92" s="540">
        <v>0</v>
      </c>
      <c r="AM92" s="540">
        <v>0</v>
      </c>
      <c r="AN92" s="540">
        <v>0</v>
      </c>
      <c r="AO92" s="540">
        <v>0</v>
      </c>
      <c r="AP92" s="540">
        <v>0</v>
      </c>
      <c r="AQ92" s="540">
        <v>0</v>
      </c>
      <c r="AR92" s="540">
        <v>0</v>
      </c>
      <c r="AS92" s="540">
        <v>0</v>
      </c>
      <c r="AT92" s="540">
        <v>1881426</v>
      </c>
      <c r="AU92" s="540">
        <v>507244.10513879621</v>
      </c>
      <c r="AV92" s="540">
        <v>176076</v>
      </c>
      <c r="AW92" s="540">
        <v>344220.97339261207</v>
      </c>
      <c r="AX92" s="541">
        <v>2564746.1051387964</v>
      </c>
      <c r="AY92" s="541">
        <v>2533770.1051387964</v>
      </c>
      <c r="AZ92" s="541">
        <v>6627.666666666667</v>
      </c>
      <c r="BA92" s="541">
        <v>2127481</v>
      </c>
      <c r="BB92" s="541">
        <v>0</v>
      </c>
      <c r="BC92" s="541">
        <v>0</v>
      </c>
      <c r="BD92" s="541">
        <v>2564746.1051387964</v>
      </c>
      <c r="BE92" s="540">
        <v>0</v>
      </c>
      <c r="BF92" s="540">
        <v>2564746.1051387964</v>
      </c>
      <c r="BG92" s="541">
        <v>2158457</v>
      </c>
      <c r="BH92" s="541">
        <v>1982381</v>
      </c>
      <c r="BI92" s="540">
        <v>2388670.1051387964</v>
      </c>
      <c r="BJ92" s="540">
        <v>7441.33989139812</v>
      </c>
      <c r="BK92" s="540">
        <v>7418.448996415771</v>
      </c>
      <c r="BL92" s="542">
        <v>3.0856712762207753E-3</v>
      </c>
      <c r="BM92" s="542">
        <v>0</v>
      </c>
      <c r="BN92" s="540">
        <v>0</v>
      </c>
      <c r="BO92" s="541">
        <v>2564746.1051387964</v>
      </c>
      <c r="BP92" s="541">
        <v>7893.3648135164995</v>
      </c>
      <c r="BQ92" s="541" t="s">
        <v>771</v>
      </c>
      <c r="BR92" s="541">
        <v>7989.8632558841009</v>
      </c>
      <c r="BS92" s="542">
        <v>-7.4143953492546988E-3</v>
      </c>
      <c r="BT92" s="540">
        <v>0</v>
      </c>
      <c r="BU92" s="540">
        <v>2564746.1051387964</v>
      </c>
      <c r="BV92" s="540">
        <v>0</v>
      </c>
      <c r="BW92" s="540">
        <v>2564746.1051387964</v>
      </c>
      <c r="BX92" s="540">
        <v>30976</v>
      </c>
      <c r="BY92" s="540">
        <v>2533770.1051387964</v>
      </c>
      <c r="CA92" s="10"/>
    </row>
    <row r="93" spans="1:79" ht="14.5" x14ac:dyDescent="0.35">
      <c r="A93" s="537">
        <v>148538</v>
      </c>
      <c r="B93" s="537">
        <v>8314011</v>
      </c>
      <c r="C93" s="538" t="s">
        <v>144</v>
      </c>
      <c r="D93" s="537">
        <v>148538</v>
      </c>
      <c r="E93" s="539">
        <v>876</v>
      </c>
      <c r="F93" s="539">
        <v>0</v>
      </c>
      <c r="G93" s="539">
        <v>876</v>
      </c>
      <c r="H93" s="540">
        <v>0</v>
      </c>
      <c r="I93" s="540">
        <v>2868238</v>
      </c>
      <c r="J93" s="540">
        <v>2121211</v>
      </c>
      <c r="K93" s="540">
        <v>0</v>
      </c>
      <c r="L93" s="540">
        <v>260865.00000000012</v>
      </c>
      <c r="M93" s="540">
        <v>0</v>
      </c>
      <c r="N93" s="540">
        <v>923670</v>
      </c>
      <c r="O93" s="540">
        <v>0</v>
      </c>
      <c r="P93" s="540">
        <v>0</v>
      </c>
      <c r="Q93" s="540">
        <v>0</v>
      </c>
      <c r="R93" s="540">
        <v>0</v>
      </c>
      <c r="S93" s="540">
        <v>0</v>
      </c>
      <c r="T93" s="540">
        <v>0</v>
      </c>
      <c r="U93" s="540">
        <v>20060.000000000007</v>
      </c>
      <c r="V93" s="540">
        <v>37800</v>
      </c>
      <c r="W93" s="540">
        <v>29210.000000000025</v>
      </c>
      <c r="X93" s="540">
        <v>123709.99999999971</v>
      </c>
      <c r="Y93" s="540">
        <v>185505.00000000017</v>
      </c>
      <c r="Z93" s="540">
        <v>165299.99999999971</v>
      </c>
      <c r="AA93" s="540">
        <v>0</v>
      </c>
      <c r="AB93" s="540">
        <v>185231.45142857204</v>
      </c>
      <c r="AC93" s="540">
        <v>0</v>
      </c>
      <c r="AD93" s="540">
        <v>580793.66677620704</v>
      </c>
      <c r="AE93" s="540">
        <v>0</v>
      </c>
      <c r="AF93" s="540">
        <v>118552.83428571465</v>
      </c>
      <c r="AG93" s="540">
        <v>145100</v>
      </c>
      <c r="AH93" s="540">
        <v>0</v>
      </c>
      <c r="AI93" s="540">
        <v>0</v>
      </c>
      <c r="AJ93" s="540">
        <v>0</v>
      </c>
      <c r="AK93" s="540">
        <v>38144</v>
      </c>
      <c r="AL93" s="540">
        <v>485193</v>
      </c>
      <c r="AM93" s="540">
        <v>0</v>
      </c>
      <c r="AN93" s="540">
        <v>0</v>
      </c>
      <c r="AO93" s="540">
        <v>0</v>
      </c>
      <c r="AP93" s="540">
        <v>0</v>
      </c>
      <c r="AQ93" s="540">
        <v>0</v>
      </c>
      <c r="AR93" s="540">
        <v>0</v>
      </c>
      <c r="AS93" s="540">
        <v>0</v>
      </c>
      <c r="AT93" s="540">
        <v>4989449</v>
      </c>
      <c r="AU93" s="540">
        <v>2630697.9524904937</v>
      </c>
      <c r="AV93" s="540">
        <v>668437</v>
      </c>
      <c r="AW93" s="540">
        <v>1456830.8834181845</v>
      </c>
      <c r="AX93" s="541">
        <v>8288583.9524904937</v>
      </c>
      <c r="AY93" s="541">
        <v>7765246.9524904937</v>
      </c>
      <c r="AZ93" s="541">
        <v>6465</v>
      </c>
      <c r="BA93" s="541">
        <v>5663340</v>
      </c>
      <c r="BB93" s="541">
        <v>0</v>
      </c>
      <c r="BC93" s="541">
        <v>0</v>
      </c>
      <c r="BD93" s="541">
        <v>8288583.9524904937</v>
      </c>
      <c r="BE93" s="540">
        <v>0</v>
      </c>
      <c r="BF93" s="540">
        <v>8288583.9524904937</v>
      </c>
      <c r="BG93" s="541">
        <v>6186677</v>
      </c>
      <c r="BH93" s="541">
        <v>5518240</v>
      </c>
      <c r="BI93" s="540">
        <v>7620146.9524904937</v>
      </c>
      <c r="BJ93" s="540">
        <v>8698.7978909708836</v>
      </c>
      <c r="BK93" s="540">
        <v>8461.0920615034174</v>
      </c>
      <c r="BL93" s="542">
        <v>2.8093989255711889E-2</v>
      </c>
      <c r="BM93" s="542">
        <v>-1.8926787039263714E-2</v>
      </c>
      <c r="BN93" s="540">
        <v>-140283.76790928768</v>
      </c>
      <c r="BO93" s="541">
        <v>8148300.1845812062</v>
      </c>
      <c r="BP93" s="541">
        <v>8704.2958728095964</v>
      </c>
      <c r="BQ93" s="541" t="s">
        <v>771</v>
      </c>
      <c r="BR93" s="541">
        <v>9301.7125394762625</v>
      </c>
      <c r="BS93" s="542">
        <v>1.0658355270840136E-2</v>
      </c>
      <c r="BT93" s="540">
        <v>0</v>
      </c>
      <c r="BU93" s="540">
        <v>8148300.1845812062</v>
      </c>
      <c r="BV93" s="540">
        <v>0</v>
      </c>
      <c r="BW93" s="540">
        <v>8148300.1845812062</v>
      </c>
      <c r="BX93" s="540">
        <v>38144</v>
      </c>
      <c r="BY93" s="540">
        <v>8110156.1845812062</v>
      </c>
      <c r="CA93" s="10"/>
    </row>
    <row r="94" spans="1:79" ht="14.5" x14ac:dyDescent="0.35">
      <c r="A94" s="537">
        <v>148639</v>
      </c>
      <c r="B94" s="537">
        <v>8314012</v>
      </c>
      <c r="C94" s="538" t="s">
        <v>145</v>
      </c>
      <c r="D94" s="537">
        <v>148639</v>
      </c>
      <c r="E94" s="539">
        <v>1491</v>
      </c>
      <c r="F94" s="539">
        <v>0</v>
      </c>
      <c r="G94" s="539">
        <v>1491</v>
      </c>
      <c r="H94" s="540">
        <v>0</v>
      </c>
      <c r="I94" s="540">
        <v>4879800</v>
      </c>
      <c r="J94" s="540">
        <v>3612783</v>
      </c>
      <c r="K94" s="540">
        <v>0</v>
      </c>
      <c r="L94" s="540">
        <v>143550.00000000017</v>
      </c>
      <c r="M94" s="540">
        <v>0</v>
      </c>
      <c r="N94" s="540">
        <v>458724.99999999965</v>
      </c>
      <c r="O94" s="540">
        <v>0</v>
      </c>
      <c r="P94" s="540">
        <v>0</v>
      </c>
      <c r="Q94" s="540">
        <v>0</v>
      </c>
      <c r="R94" s="540">
        <v>0</v>
      </c>
      <c r="S94" s="540">
        <v>0</v>
      </c>
      <c r="T94" s="540">
        <v>0</v>
      </c>
      <c r="U94" s="540">
        <v>51749.415715245072</v>
      </c>
      <c r="V94" s="540">
        <v>2253.0221625251852</v>
      </c>
      <c r="W94" s="540">
        <v>635.85292142377432</v>
      </c>
      <c r="X94" s="540">
        <v>3479.6675621222303</v>
      </c>
      <c r="Y94" s="540">
        <v>14174.012760241756</v>
      </c>
      <c r="Z94" s="540">
        <v>6658.9321692411049</v>
      </c>
      <c r="AA94" s="540">
        <v>0</v>
      </c>
      <c r="AB94" s="540">
        <v>36783.681909885578</v>
      </c>
      <c r="AC94" s="540">
        <v>0</v>
      </c>
      <c r="AD94" s="540">
        <v>496865.02052808297</v>
      </c>
      <c r="AE94" s="540">
        <v>0</v>
      </c>
      <c r="AF94" s="540">
        <v>0</v>
      </c>
      <c r="AG94" s="540">
        <v>145100</v>
      </c>
      <c r="AH94" s="540">
        <v>0</v>
      </c>
      <c r="AI94" s="540">
        <v>0</v>
      </c>
      <c r="AJ94" s="540">
        <v>0</v>
      </c>
      <c r="AK94" s="540">
        <v>46080</v>
      </c>
      <c r="AL94" s="540">
        <v>0</v>
      </c>
      <c r="AM94" s="540">
        <v>0</v>
      </c>
      <c r="AN94" s="540">
        <v>0</v>
      </c>
      <c r="AO94" s="540">
        <v>0</v>
      </c>
      <c r="AP94" s="540">
        <v>0</v>
      </c>
      <c r="AQ94" s="540">
        <v>0</v>
      </c>
      <c r="AR94" s="540">
        <v>0</v>
      </c>
      <c r="AS94" s="540">
        <v>0</v>
      </c>
      <c r="AT94" s="540">
        <v>8492583</v>
      </c>
      <c r="AU94" s="540">
        <v>1214874.6057287673</v>
      </c>
      <c r="AV94" s="540">
        <v>191180</v>
      </c>
      <c r="AW94" s="540">
        <v>1200226.7375352224</v>
      </c>
      <c r="AX94" s="541">
        <v>9898637.6057287678</v>
      </c>
      <c r="AY94" s="541">
        <v>9852557.6057287678</v>
      </c>
      <c r="AZ94" s="541">
        <v>6465</v>
      </c>
      <c r="BA94" s="541">
        <v>9639315</v>
      </c>
      <c r="BB94" s="541">
        <v>0</v>
      </c>
      <c r="BC94" s="541">
        <v>0</v>
      </c>
      <c r="BD94" s="541">
        <v>9898637.6057287678</v>
      </c>
      <c r="BE94" s="540">
        <v>0</v>
      </c>
      <c r="BF94" s="540">
        <v>9898637.6057287697</v>
      </c>
      <c r="BG94" s="541">
        <v>9685395</v>
      </c>
      <c r="BH94" s="541">
        <v>9494215</v>
      </c>
      <c r="BI94" s="540">
        <v>9707457.6057287678</v>
      </c>
      <c r="BJ94" s="540">
        <v>6510.7026195363969</v>
      </c>
      <c r="BK94" s="540">
        <v>6392.4559234385488</v>
      </c>
      <c r="BL94" s="542">
        <v>1.8497850828237291E-2</v>
      </c>
      <c r="BM94" s="542">
        <v>-1.09236075907499E-2</v>
      </c>
      <c r="BN94" s="540">
        <v>-104114.56195277198</v>
      </c>
      <c r="BO94" s="541">
        <v>9794523.0437759962</v>
      </c>
      <c r="BP94" s="541">
        <v>6538.1911762414466</v>
      </c>
      <c r="BQ94" s="541" t="s">
        <v>771</v>
      </c>
      <c r="BR94" s="541">
        <v>6569.0966088370196</v>
      </c>
      <c r="BS94" s="542">
        <v>7.3986954818956452E-3</v>
      </c>
      <c r="BT94" s="540">
        <v>0</v>
      </c>
      <c r="BU94" s="540">
        <v>9794523.0437759962</v>
      </c>
      <c r="BV94" s="540">
        <v>0</v>
      </c>
      <c r="BW94" s="540">
        <v>9794523.0437759962</v>
      </c>
      <c r="BX94" s="540">
        <v>46080</v>
      </c>
      <c r="BY94" s="540">
        <v>9748443.0437759962</v>
      </c>
      <c r="CA94" s="10"/>
    </row>
    <row r="95" spans="1:79" ht="14.5" x14ac:dyDescent="0.35">
      <c r="A95" s="537">
        <v>145327</v>
      </c>
      <c r="B95" s="537">
        <v>8314178</v>
      </c>
      <c r="C95" s="538" t="s">
        <v>146</v>
      </c>
      <c r="D95" s="537">
        <v>145327</v>
      </c>
      <c r="E95" s="539">
        <v>1459</v>
      </c>
      <c r="F95" s="539">
        <v>0</v>
      </c>
      <c r="G95" s="539">
        <v>1459</v>
      </c>
      <c r="H95" s="540">
        <v>0</v>
      </c>
      <c r="I95" s="540">
        <v>4755094</v>
      </c>
      <c r="J95" s="540">
        <v>3557766</v>
      </c>
      <c r="K95" s="540">
        <v>0</v>
      </c>
      <c r="L95" s="540">
        <v>259874.99999999983</v>
      </c>
      <c r="M95" s="540">
        <v>0</v>
      </c>
      <c r="N95" s="540">
        <v>859915.00000000023</v>
      </c>
      <c r="O95" s="540">
        <v>0</v>
      </c>
      <c r="P95" s="540">
        <v>0</v>
      </c>
      <c r="Q95" s="540">
        <v>0</v>
      </c>
      <c r="R95" s="540">
        <v>0</v>
      </c>
      <c r="S95" s="540">
        <v>0</v>
      </c>
      <c r="T95" s="540">
        <v>0</v>
      </c>
      <c r="U95" s="540">
        <v>3750.281786941579</v>
      </c>
      <c r="V95" s="540">
        <v>104235.77319587619</v>
      </c>
      <c r="W95" s="540">
        <v>147725.00343642625</v>
      </c>
      <c r="X95" s="540">
        <v>130322.29209621946</v>
      </c>
      <c r="Y95" s="540">
        <v>102345.59106529213</v>
      </c>
      <c r="Z95" s="540">
        <v>8573.5051546391769</v>
      </c>
      <c r="AA95" s="540">
        <v>0</v>
      </c>
      <c r="AB95" s="540">
        <v>94105.000000000087</v>
      </c>
      <c r="AC95" s="540">
        <v>0</v>
      </c>
      <c r="AD95" s="540">
        <v>671752.72681352228</v>
      </c>
      <c r="AE95" s="540">
        <v>0</v>
      </c>
      <c r="AF95" s="540">
        <v>0</v>
      </c>
      <c r="AG95" s="540">
        <v>145100</v>
      </c>
      <c r="AH95" s="540">
        <v>0</v>
      </c>
      <c r="AI95" s="540">
        <v>0</v>
      </c>
      <c r="AJ95" s="540">
        <v>0</v>
      </c>
      <c r="AK95" s="540">
        <v>30976</v>
      </c>
      <c r="AL95" s="540">
        <v>0</v>
      </c>
      <c r="AM95" s="540">
        <v>0</v>
      </c>
      <c r="AN95" s="540">
        <v>0</v>
      </c>
      <c r="AO95" s="540">
        <v>0</v>
      </c>
      <c r="AP95" s="540">
        <v>0</v>
      </c>
      <c r="AQ95" s="540">
        <v>0</v>
      </c>
      <c r="AR95" s="540">
        <v>0</v>
      </c>
      <c r="AS95" s="540">
        <v>0</v>
      </c>
      <c r="AT95" s="540">
        <v>8312860</v>
      </c>
      <c r="AU95" s="540">
        <v>2382600.1735489173</v>
      </c>
      <c r="AV95" s="540">
        <v>176076</v>
      </c>
      <c r="AW95" s="540">
        <v>1592510.3431715874</v>
      </c>
      <c r="AX95" s="541">
        <v>10871536.173548918</v>
      </c>
      <c r="AY95" s="541">
        <v>10840560.173548918</v>
      </c>
      <c r="AZ95" s="541">
        <v>6465</v>
      </c>
      <c r="BA95" s="541">
        <v>9432435</v>
      </c>
      <c r="BB95" s="541">
        <v>0</v>
      </c>
      <c r="BC95" s="541">
        <v>0</v>
      </c>
      <c r="BD95" s="541">
        <v>10871536.173548918</v>
      </c>
      <c r="BE95" s="540">
        <v>0</v>
      </c>
      <c r="BF95" s="540">
        <v>10871536.173548916</v>
      </c>
      <c r="BG95" s="541">
        <v>9463411</v>
      </c>
      <c r="BH95" s="541">
        <v>9287335</v>
      </c>
      <c r="BI95" s="540">
        <v>10695460.173548918</v>
      </c>
      <c r="BJ95" s="540">
        <v>7330.6786659005611</v>
      </c>
      <c r="BK95" s="540">
        <v>7144.7060027100279</v>
      </c>
      <c r="BL95" s="542">
        <v>2.6029435377745807E-2</v>
      </c>
      <c r="BM95" s="542">
        <v>-1.7204949105040005E-2</v>
      </c>
      <c r="BN95" s="540">
        <v>-179346.55829161868</v>
      </c>
      <c r="BO95" s="541">
        <v>10692189.6152573</v>
      </c>
      <c r="BP95" s="541">
        <v>7307.2060419858126</v>
      </c>
      <c r="BQ95" s="541" t="s">
        <v>771</v>
      </c>
      <c r="BR95" s="541">
        <v>7328.4370221091849</v>
      </c>
      <c r="BS95" s="542">
        <v>8.8709179697048501E-3</v>
      </c>
      <c r="BT95" s="540">
        <v>0</v>
      </c>
      <c r="BU95" s="540">
        <v>10692189.6152573</v>
      </c>
      <c r="BV95" s="540">
        <v>0</v>
      </c>
      <c r="BW95" s="540">
        <v>10692189.6152573</v>
      </c>
      <c r="BX95" s="540">
        <v>30976</v>
      </c>
      <c r="BY95" s="540">
        <v>10661213.6152573</v>
      </c>
      <c r="CA95" s="10"/>
    </row>
    <row r="96" spans="1:79" ht="14.5" x14ac:dyDescent="0.35">
      <c r="A96" s="537">
        <v>138622</v>
      </c>
      <c r="B96" s="537">
        <v>8314607</v>
      </c>
      <c r="C96" s="538" t="s">
        <v>147</v>
      </c>
      <c r="D96" s="537">
        <v>138622</v>
      </c>
      <c r="E96" s="539">
        <v>1378</v>
      </c>
      <c r="F96" s="539">
        <v>0</v>
      </c>
      <c r="G96" s="539">
        <v>1378</v>
      </c>
      <c r="H96" s="540">
        <v>0</v>
      </c>
      <c r="I96" s="540">
        <v>4831002</v>
      </c>
      <c r="J96" s="540">
        <v>2977031</v>
      </c>
      <c r="K96" s="540">
        <v>0</v>
      </c>
      <c r="L96" s="540">
        <v>200969.9999999998</v>
      </c>
      <c r="M96" s="540">
        <v>0</v>
      </c>
      <c r="N96" s="540">
        <v>670205.00000000105</v>
      </c>
      <c r="O96" s="540">
        <v>0</v>
      </c>
      <c r="P96" s="540">
        <v>0</v>
      </c>
      <c r="Q96" s="540">
        <v>0</v>
      </c>
      <c r="R96" s="540">
        <v>0</v>
      </c>
      <c r="S96" s="540">
        <v>0</v>
      </c>
      <c r="T96" s="540">
        <v>0</v>
      </c>
      <c r="U96" s="540">
        <v>46954.074074073942</v>
      </c>
      <c r="V96" s="540">
        <v>113032.02614379117</v>
      </c>
      <c r="W96" s="540">
        <v>73713.493100944092</v>
      </c>
      <c r="X96" s="540">
        <v>107803.23166303562</v>
      </c>
      <c r="Y96" s="540">
        <v>125250.89324618742</v>
      </c>
      <c r="Z96" s="540">
        <v>131195.20697167719</v>
      </c>
      <c r="AA96" s="540">
        <v>0</v>
      </c>
      <c r="AB96" s="540">
        <v>184092.97159504742</v>
      </c>
      <c r="AC96" s="540">
        <v>0</v>
      </c>
      <c r="AD96" s="540">
        <v>557289.91267888446</v>
      </c>
      <c r="AE96" s="540">
        <v>0</v>
      </c>
      <c r="AF96" s="540">
        <v>0</v>
      </c>
      <c r="AG96" s="540">
        <v>145100</v>
      </c>
      <c r="AH96" s="540">
        <v>0</v>
      </c>
      <c r="AI96" s="540">
        <v>0</v>
      </c>
      <c r="AJ96" s="540">
        <v>0</v>
      </c>
      <c r="AK96" s="540">
        <v>29440</v>
      </c>
      <c r="AL96" s="540">
        <v>0</v>
      </c>
      <c r="AM96" s="540">
        <v>0</v>
      </c>
      <c r="AN96" s="540">
        <v>0</v>
      </c>
      <c r="AO96" s="540">
        <v>0</v>
      </c>
      <c r="AP96" s="540">
        <v>0</v>
      </c>
      <c r="AQ96" s="540">
        <v>0</v>
      </c>
      <c r="AR96" s="540">
        <v>0</v>
      </c>
      <c r="AS96" s="540">
        <v>0</v>
      </c>
      <c r="AT96" s="540">
        <v>7808033</v>
      </c>
      <c r="AU96" s="540">
        <v>2210506.8094736421</v>
      </c>
      <c r="AV96" s="540">
        <v>174540</v>
      </c>
      <c r="AW96" s="540">
        <v>1496846.3848956544</v>
      </c>
      <c r="AX96" s="541">
        <v>10193079.809473641</v>
      </c>
      <c r="AY96" s="541">
        <v>10163639.809473641</v>
      </c>
      <c r="AZ96" s="541">
        <v>6465</v>
      </c>
      <c r="BA96" s="541">
        <v>8908770</v>
      </c>
      <c r="BB96" s="541">
        <v>0</v>
      </c>
      <c r="BC96" s="541">
        <v>0</v>
      </c>
      <c r="BD96" s="541">
        <v>10193079.809473641</v>
      </c>
      <c r="BE96" s="540">
        <v>0</v>
      </c>
      <c r="BF96" s="540">
        <v>10193079.809473643</v>
      </c>
      <c r="BG96" s="541">
        <v>8938210</v>
      </c>
      <c r="BH96" s="541">
        <v>8763670</v>
      </c>
      <c r="BI96" s="540">
        <v>10018539.809473641</v>
      </c>
      <c r="BJ96" s="540">
        <v>7270.3481926514087</v>
      </c>
      <c r="BK96" s="540">
        <v>7127.8070827267684</v>
      </c>
      <c r="BL96" s="542">
        <v>1.9997891114374923E-2</v>
      </c>
      <c r="BM96" s="542">
        <v>-1.2174641189388685E-2</v>
      </c>
      <c r="BN96" s="540">
        <v>-119580.76431774801</v>
      </c>
      <c r="BO96" s="541">
        <v>10073499.045155894</v>
      </c>
      <c r="BP96" s="541">
        <v>7288.867231608051</v>
      </c>
      <c r="BQ96" s="541" t="s">
        <v>771</v>
      </c>
      <c r="BR96" s="541">
        <v>7310.2315276893278</v>
      </c>
      <c r="BS96" s="542">
        <v>7.3649772104991129E-3</v>
      </c>
      <c r="BT96" s="540">
        <v>0</v>
      </c>
      <c r="BU96" s="540">
        <v>10073499.045155894</v>
      </c>
      <c r="BV96" s="540">
        <v>0</v>
      </c>
      <c r="BW96" s="540">
        <v>10073499.045155894</v>
      </c>
      <c r="BX96" s="540">
        <v>29440</v>
      </c>
      <c r="BY96" s="540">
        <v>10044059.045155894</v>
      </c>
      <c r="CA96" s="10"/>
    </row>
    <row r="97" spans="1:79" ht="14.5" x14ac:dyDescent="0.35">
      <c r="A97" s="537">
        <v>136634</v>
      </c>
      <c r="B97" s="537">
        <v>8315412</v>
      </c>
      <c r="C97" s="538" t="s">
        <v>148</v>
      </c>
      <c r="D97" s="537">
        <v>136634</v>
      </c>
      <c r="E97" s="539">
        <v>1460</v>
      </c>
      <c r="F97" s="539">
        <v>0</v>
      </c>
      <c r="G97" s="539">
        <v>1460</v>
      </c>
      <c r="H97" s="540">
        <v>0</v>
      </c>
      <c r="I97" s="540">
        <v>4798470</v>
      </c>
      <c r="J97" s="540">
        <v>3514975</v>
      </c>
      <c r="K97" s="540">
        <v>0</v>
      </c>
      <c r="L97" s="540">
        <v>173249.9999999998</v>
      </c>
      <c r="M97" s="540">
        <v>0</v>
      </c>
      <c r="N97" s="540">
        <v>586235.00000000058</v>
      </c>
      <c r="O97" s="540">
        <v>0</v>
      </c>
      <c r="P97" s="540">
        <v>0</v>
      </c>
      <c r="Q97" s="540">
        <v>0</v>
      </c>
      <c r="R97" s="540">
        <v>0</v>
      </c>
      <c r="S97" s="540">
        <v>0</v>
      </c>
      <c r="T97" s="540">
        <v>0</v>
      </c>
      <c r="U97" s="540">
        <v>56138.450993831553</v>
      </c>
      <c r="V97" s="540">
        <v>113477.72446881456</v>
      </c>
      <c r="W97" s="540">
        <v>17792.186429060988</v>
      </c>
      <c r="X97" s="540">
        <v>114058.12200137047</v>
      </c>
      <c r="Y97" s="540">
        <v>4473.0637422892396</v>
      </c>
      <c r="Z97" s="540">
        <v>6654.557916381078</v>
      </c>
      <c r="AA97" s="540">
        <v>0</v>
      </c>
      <c r="AB97" s="540">
        <v>14384.557309540145</v>
      </c>
      <c r="AC97" s="540">
        <v>0</v>
      </c>
      <c r="AD97" s="540">
        <v>527925.56412355858</v>
      </c>
      <c r="AE97" s="540">
        <v>0</v>
      </c>
      <c r="AF97" s="540">
        <v>0</v>
      </c>
      <c r="AG97" s="540">
        <v>145100</v>
      </c>
      <c r="AH97" s="540">
        <v>0</v>
      </c>
      <c r="AI97" s="540">
        <v>0</v>
      </c>
      <c r="AJ97" s="540">
        <v>0</v>
      </c>
      <c r="AK97" s="540">
        <v>31232</v>
      </c>
      <c r="AL97" s="540">
        <v>0</v>
      </c>
      <c r="AM97" s="540">
        <v>0</v>
      </c>
      <c r="AN97" s="540">
        <v>0</v>
      </c>
      <c r="AO97" s="540">
        <v>0</v>
      </c>
      <c r="AP97" s="540">
        <v>0</v>
      </c>
      <c r="AQ97" s="540">
        <v>0</v>
      </c>
      <c r="AR97" s="540">
        <v>0</v>
      </c>
      <c r="AS97" s="540">
        <v>0</v>
      </c>
      <c r="AT97" s="540">
        <v>8313445</v>
      </c>
      <c r="AU97" s="540">
        <v>1614389.2269848471</v>
      </c>
      <c r="AV97" s="540">
        <v>176332</v>
      </c>
      <c r="AW97" s="540">
        <v>1322718.8268393099</v>
      </c>
      <c r="AX97" s="541">
        <v>10104166.226984847</v>
      </c>
      <c r="AY97" s="541">
        <v>10072934.226984847</v>
      </c>
      <c r="AZ97" s="541">
        <v>6465</v>
      </c>
      <c r="BA97" s="541">
        <v>9438900</v>
      </c>
      <c r="BB97" s="541">
        <v>0</v>
      </c>
      <c r="BC97" s="541">
        <v>0</v>
      </c>
      <c r="BD97" s="541">
        <v>10104166.226984847</v>
      </c>
      <c r="BE97" s="540">
        <v>0</v>
      </c>
      <c r="BF97" s="540">
        <v>10104166.226984845</v>
      </c>
      <c r="BG97" s="541">
        <v>9470132</v>
      </c>
      <c r="BH97" s="541">
        <v>9293800</v>
      </c>
      <c r="BI97" s="540">
        <v>9927834.2269848473</v>
      </c>
      <c r="BJ97" s="540">
        <v>6799.8864568389363</v>
      </c>
      <c r="BK97" s="540">
        <v>6667.8293563685638</v>
      </c>
      <c r="BL97" s="542">
        <v>1.9805110990766785E-2</v>
      </c>
      <c r="BM97" s="542">
        <v>-1.2013862566299499E-2</v>
      </c>
      <c r="BN97" s="540">
        <v>-116955.32283430579</v>
      </c>
      <c r="BO97" s="541">
        <v>9987210.9041505419</v>
      </c>
      <c r="BP97" s="541">
        <v>6819.163632979823</v>
      </c>
      <c r="BQ97" s="541" t="s">
        <v>771</v>
      </c>
      <c r="BR97" s="541">
        <v>6840.5554138017415</v>
      </c>
      <c r="BS97" s="542">
        <v>7.8470037028430806E-3</v>
      </c>
      <c r="BT97" s="540">
        <v>0</v>
      </c>
      <c r="BU97" s="540">
        <v>9987210.9041505419</v>
      </c>
      <c r="BV97" s="540">
        <v>0</v>
      </c>
      <c r="BW97" s="540">
        <v>9987210.9041505419</v>
      </c>
      <c r="BX97" s="540">
        <v>31232</v>
      </c>
      <c r="BY97" s="540">
        <v>9955978.9041505419</v>
      </c>
      <c r="CA97" s="10"/>
    </row>
    <row r="98" spans="1:79" ht="14.5" x14ac:dyDescent="0.35">
      <c r="A98" s="537">
        <v>137911</v>
      </c>
      <c r="B98" s="537">
        <v>8315414</v>
      </c>
      <c r="C98" s="538" t="s">
        <v>149</v>
      </c>
      <c r="D98" s="537">
        <v>137911</v>
      </c>
      <c r="E98" s="539">
        <v>1188</v>
      </c>
      <c r="F98" s="539">
        <v>0</v>
      </c>
      <c r="G98" s="539">
        <v>1188</v>
      </c>
      <c r="H98" s="540">
        <v>0</v>
      </c>
      <c r="I98" s="540">
        <v>3860464</v>
      </c>
      <c r="J98" s="540">
        <v>2909788</v>
      </c>
      <c r="K98" s="540">
        <v>0</v>
      </c>
      <c r="L98" s="540">
        <v>116325.00000000012</v>
      </c>
      <c r="M98" s="540">
        <v>0</v>
      </c>
      <c r="N98" s="540">
        <v>393415.00000000006</v>
      </c>
      <c r="O98" s="540">
        <v>0</v>
      </c>
      <c r="P98" s="540">
        <v>0</v>
      </c>
      <c r="Q98" s="540">
        <v>0</v>
      </c>
      <c r="R98" s="540">
        <v>0</v>
      </c>
      <c r="S98" s="540">
        <v>0</v>
      </c>
      <c r="T98" s="540">
        <v>0</v>
      </c>
      <c r="U98" s="540">
        <v>49341.533277169321</v>
      </c>
      <c r="V98" s="540">
        <v>34228.812131423751</v>
      </c>
      <c r="W98" s="540">
        <v>9533.0244313395087</v>
      </c>
      <c r="X98" s="540">
        <v>37561.617523167639</v>
      </c>
      <c r="Y98" s="540">
        <v>11184.414490311707</v>
      </c>
      <c r="Z98" s="540">
        <v>38982.813816343703</v>
      </c>
      <c r="AA98" s="540">
        <v>0</v>
      </c>
      <c r="AB98" s="540">
        <v>39908.593091828123</v>
      </c>
      <c r="AC98" s="540">
        <v>0</v>
      </c>
      <c r="AD98" s="540">
        <v>371653.38652463781</v>
      </c>
      <c r="AE98" s="540">
        <v>0</v>
      </c>
      <c r="AF98" s="540">
        <v>0</v>
      </c>
      <c r="AG98" s="540">
        <v>145100</v>
      </c>
      <c r="AH98" s="540">
        <v>0</v>
      </c>
      <c r="AI98" s="540">
        <v>0</v>
      </c>
      <c r="AJ98" s="540">
        <v>0</v>
      </c>
      <c r="AK98" s="540">
        <v>32512</v>
      </c>
      <c r="AL98" s="540">
        <v>0</v>
      </c>
      <c r="AM98" s="540">
        <v>0</v>
      </c>
      <c r="AN98" s="540">
        <v>0</v>
      </c>
      <c r="AO98" s="540">
        <v>0</v>
      </c>
      <c r="AP98" s="540">
        <v>0</v>
      </c>
      <c r="AQ98" s="540">
        <v>0</v>
      </c>
      <c r="AR98" s="540">
        <v>0</v>
      </c>
      <c r="AS98" s="540">
        <v>0</v>
      </c>
      <c r="AT98" s="540">
        <v>6770252</v>
      </c>
      <c r="AU98" s="540">
        <v>1102134.1952862218</v>
      </c>
      <c r="AV98" s="540">
        <v>177612</v>
      </c>
      <c r="AW98" s="540">
        <v>1004848.0271110615</v>
      </c>
      <c r="AX98" s="541">
        <v>8049998.1952862218</v>
      </c>
      <c r="AY98" s="541">
        <v>8017486.1952862218</v>
      </c>
      <c r="AZ98" s="541">
        <v>6465</v>
      </c>
      <c r="BA98" s="541">
        <v>7680420</v>
      </c>
      <c r="BB98" s="541">
        <v>0</v>
      </c>
      <c r="BC98" s="541">
        <v>0</v>
      </c>
      <c r="BD98" s="541">
        <v>8049998.1952862218</v>
      </c>
      <c r="BE98" s="540">
        <v>0</v>
      </c>
      <c r="BF98" s="540">
        <v>8049998.1952862199</v>
      </c>
      <c r="BG98" s="541">
        <v>7712932</v>
      </c>
      <c r="BH98" s="541">
        <v>7535320</v>
      </c>
      <c r="BI98" s="540">
        <v>7872386.1952862218</v>
      </c>
      <c r="BJ98" s="540">
        <v>6626.5877064698834</v>
      </c>
      <c r="BK98" s="540">
        <v>6533.2414261603371</v>
      </c>
      <c r="BL98" s="542">
        <v>1.428789695965774E-2</v>
      </c>
      <c r="BM98" s="542">
        <v>-7.4125060643545548E-3</v>
      </c>
      <c r="BN98" s="540">
        <v>-57532.097729271409</v>
      </c>
      <c r="BO98" s="541">
        <v>7992466.0975569505</v>
      </c>
      <c r="BP98" s="541">
        <v>6700.2980619166246</v>
      </c>
      <c r="BQ98" s="541" t="s">
        <v>771</v>
      </c>
      <c r="BR98" s="541">
        <v>6727.6650652836288</v>
      </c>
      <c r="BS98" s="542">
        <v>6.6645611171924912E-3</v>
      </c>
      <c r="BT98" s="540">
        <v>0</v>
      </c>
      <c r="BU98" s="540">
        <v>7992466.0975569505</v>
      </c>
      <c r="BV98" s="540">
        <v>0</v>
      </c>
      <c r="BW98" s="540">
        <v>7992466.0975569505</v>
      </c>
      <c r="BX98" s="540">
        <v>32512</v>
      </c>
      <c r="BY98" s="540">
        <v>7959954.0975569505</v>
      </c>
      <c r="CA98" s="10"/>
    </row>
    <row r="99" spans="1:79" ht="14.5" x14ac:dyDescent="0.35">
      <c r="A99" s="537">
        <v>135120</v>
      </c>
      <c r="B99" s="537">
        <v>8316905</v>
      </c>
      <c r="C99" s="538" t="s">
        <v>150</v>
      </c>
      <c r="D99" s="537">
        <v>135120</v>
      </c>
      <c r="E99" s="539">
        <v>1057</v>
      </c>
      <c r="F99" s="539">
        <v>0</v>
      </c>
      <c r="G99" s="539">
        <v>1057</v>
      </c>
      <c r="H99" s="540">
        <v>0</v>
      </c>
      <c r="I99" s="540">
        <v>3616474</v>
      </c>
      <c r="J99" s="540">
        <v>2384070</v>
      </c>
      <c r="K99" s="540">
        <v>0</v>
      </c>
      <c r="L99" s="540">
        <v>144540.00000000023</v>
      </c>
      <c r="M99" s="540">
        <v>0</v>
      </c>
      <c r="N99" s="540">
        <v>598674.99999999919</v>
      </c>
      <c r="O99" s="540">
        <v>0</v>
      </c>
      <c r="P99" s="540">
        <v>0</v>
      </c>
      <c r="Q99" s="540">
        <v>0</v>
      </c>
      <c r="R99" s="540">
        <v>0</v>
      </c>
      <c r="S99" s="540">
        <v>0</v>
      </c>
      <c r="T99" s="540">
        <v>0</v>
      </c>
      <c r="U99" s="540">
        <v>43860.00000000008</v>
      </c>
      <c r="V99" s="540">
        <v>58950.000000000189</v>
      </c>
      <c r="W99" s="540">
        <v>95250.000000000029</v>
      </c>
      <c r="X99" s="540">
        <v>93824.999999999825</v>
      </c>
      <c r="Y99" s="540">
        <v>63325</v>
      </c>
      <c r="Z99" s="540">
        <v>57000.000000000029</v>
      </c>
      <c r="AA99" s="540">
        <v>0</v>
      </c>
      <c r="AB99" s="540">
        <v>33495.000000000051</v>
      </c>
      <c r="AC99" s="540">
        <v>0</v>
      </c>
      <c r="AD99" s="540">
        <v>324778.19514050701</v>
      </c>
      <c r="AE99" s="540">
        <v>0</v>
      </c>
      <c r="AF99" s="540">
        <v>0</v>
      </c>
      <c r="AG99" s="540">
        <v>145100</v>
      </c>
      <c r="AH99" s="540">
        <v>0</v>
      </c>
      <c r="AI99" s="540">
        <v>0</v>
      </c>
      <c r="AJ99" s="540">
        <v>0</v>
      </c>
      <c r="AK99" s="540">
        <v>45312</v>
      </c>
      <c r="AL99" s="540">
        <v>0</v>
      </c>
      <c r="AM99" s="540">
        <v>0</v>
      </c>
      <c r="AN99" s="540">
        <v>0</v>
      </c>
      <c r="AO99" s="540">
        <v>0</v>
      </c>
      <c r="AP99" s="540">
        <v>0</v>
      </c>
      <c r="AQ99" s="540">
        <v>0</v>
      </c>
      <c r="AR99" s="540">
        <v>0</v>
      </c>
      <c r="AS99" s="540">
        <v>0</v>
      </c>
      <c r="AT99" s="540">
        <v>6000544</v>
      </c>
      <c r="AU99" s="540">
        <v>1513698.1951405066</v>
      </c>
      <c r="AV99" s="540">
        <v>190412</v>
      </c>
      <c r="AW99" s="540">
        <v>1081986.2469328134</v>
      </c>
      <c r="AX99" s="541">
        <v>7704654.1951405071</v>
      </c>
      <c r="AY99" s="541">
        <v>7659342.1951405071</v>
      </c>
      <c r="AZ99" s="541">
        <v>6465</v>
      </c>
      <c r="BA99" s="541">
        <v>6833505</v>
      </c>
      <c r="BB99" s="541">
        <v>0</v>
      </c>
      <c r="BC99" s="541">
        <v>0</v>
      </c>
      <c r="BD99" s="541">
        <v>7704654.1951405071</v>
      </c>
      <c r="BE99" s="540">
        <v>0</v>
      </c>
      <c r="BF99" s="540">
        <v>7704654.1951405061</v>
      </c>
      <c r="BG99" s="541">
        <v>6878817</v>
      </c>
      <c r="BH99" s="541">
        <v>6688405</v>
      </c>
      <c r="BI99" s="540">
        <v>7514242.1951405071</v>
      </c>
      <c r="BJ99" s="540">
        <v>7109.0276207573388</v>
      </c>
      <c r="BK99" s="540">
        <v>6919.9946387832706</v>
      </c>
      <c r="BL99" s="542">
        <v>2.7316926073125615E-2</v>
      </c>
      <c r="BM99" s="542">
        <v>-1.8278716344986762E-2</v>
      </c>
      <c r="BN99" s="540">
        <v>-133698.47040048402</v>
      </c>
      <c r="BO99" s="541">
        <v>7570955.7247400228</v>
      </c>
      <c r="BP99" s="541">
        <v>7119.8143091201728</v>
      </c>
      <c r="BQ99" s="541" t="s">
        <v>771</v>
      </c>
      <c r="BR99" s="541">
        <v>7162.6828048628413</v>
      </c>
      <c r="BS99" s="542">
        <v>8.6872570981324504E-3</v>
      </c>
      <c r="BT99" s="540">
        <v>0</v>
      </c>
      <c r="BU99" s="540">
        <v>7570955.7247400228</v>
      </c>
      <c r="BV99" s="540">
        <v>0</v>
      </c>
      <c r="BW99" s="540">
        <v>7570955.7247400228</v>
      </c>
      <c r="BX99" s="540">
        <v>45312</v>
      </c>
      <c r="BY99" s="540">
        <v>7525643.7247400228</v>
      </c>
    </row>
    <row r="100" spans="1:79" x14ac:dyDescent="0.25">
      <c r="A100" s="8"/>
      <c r="D100" s="8"/>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row>
  </sheetData>
  <sheetProtection autoFilter="0"/>
  <autoFilter ref="A8:BZ100" xr:uid="{B7042C53-69DA-4F9C-AB7B-371FA64206AE}"/>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09a85e69-29b1-4de8-be92-21c421ab9c31" ContentTypeId="0x01010004BD521946872F46B4F2D0AF3F92529C" PreviousValue="false" LastSyncTimeStamp="2022-11-04T14:44:53.11Z"/>
</file>

<file path=customXml/item3.xml><?xml version="1.0" encoding="utf-8"?>
<ct:contentTypeSchema xmlns:ct="http://schemas.microsoft.com/office/2006/metadata/contentType" xmlns:ma="http://schemas.microsoft.com/office/2006/metadata/properties/metaAttributes" ct:_="" ma:_="" ma:contentTypeName="DCC Accountancy Content Type" ma:contentTypeID="0x01010004BD521946872F46B4F2D0AF3F92529C00153A98E735A6A34188CFE7DBA3B487D9" ma:contentTypeVersion="14" ma:contentTypeDescription="" ma:contentTypeScope="" ma:versionID="f8499eb0442d55a9bf686a7ce048b345">
  <xsd:schema xmlns:xsd="http://www.w3.org/2001/XMLSchema" xmlns:xs="http://www.w3.org/2001/XMLSchema" xmlns:p="http://schemas.microsoft.com/office/2006/metadata/properties" xmlns:ns2="c10977b7-92b9-4299-ae05-b29d8274bb62" xmlns:ns3="4b328bda-8d4a-4676-9dcc-06ece99a7f63" targetNamespace="http://schemas.microsoft.com/office/2006/metadata/properties" ma:root="true" ma:fieldsID="01f8b6e6b6c55d30d2ddf7137861a849" ns2:_="" ns3:_="">
    <xsd:import namespace="c10977b7-92b9-4299-ae05-b29d8274bb62"/>
    <xsd:import namespace="4b328bda-8d4a-4676-9dcc-06ece99a7f63"/>
    <xsd:element name="properties">
      <xsd:complexType>
        <xsd:sequence>
          <xsd:element name="documentManagement">
            <xsd:complexType>
              <xsd:all>
                <xsd:element ref="ns2:df9252e2a04c47ca90526ed0e8a7e706" minOccurs="0"/>
                <xsd:element ref="ns2:TaxCatchAll" minOccurs="0"/>
                <xsd:element ref="ns2:TaxCatchAllLabel" minOccurs="0"/>
                <xsd:element ref="ns2:Expired_x0020_or_x0020_superseded_x0020_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0977b7-92b9-4299-ae05-b29d8274bb62" elementFormDefault="qualified">
    <xsd:import namespace="http://schemas.microsoft.com/office/2006/documentManagement/types"/>
    <xsd:import namespace="http://schemas.microsoft.com/office/infopath/2007/PartnerControls"/>
    <xsd:element name="df9252e2a04c47ca90526ed0e8a7e706" ma:index="8" ma:taxonomy="true" ma:internalName="df9252e2a04c47ca90526ed0e8a7e706" ma:taxonomyFieldName="Accountancy_x0020_Document_x0020_Type" ma:displayName="Doc Type - Accountancy Document Type" ma:readOnly="false" ma:default="" ma:fieldId="{df9252e2-a04c-47ca-9052-6ed0e8a7e706}" ma:sspId="09a85e69-29b1-4de8-be92-21c421ab9c31" ma:termSetId="8f3e837d-3349-4f57-8dbc-be2c3d0a064c"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02bfd9f-1df3-42dd-948e-915642f1cd24}" ma:internalName="TaxCatchAll" ma:showField="CatchAllData" ma:web="4b328bda-8d4a-4676-9dcc-06ece99a7f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02bfd9f-1df3-42dd-948e-915642f1cd24}" ma:internalName="TaxCatchAllLabel" ma:readOnly="true" ma:showField="CatchAllDataLabel" ma:web="4b328bda-8d4a-4676-9dcc-06ece99a7f63">
      <xsd:complexType>
        <xsd:complexContent>
          <xsd:extension base="dms:MultiChoiceLookup">
            <xsd:sequence>
              <xsd:element name="Value" type="dms:Lookup" maxOccurs="unbounded" minOccurs="0" nillable="true"/>
            </xsd:sequence>
          </xsd:extension>
        </xsd:complexContent>
      </xsd:complexType>
    </xsd:element>
    <xsd:element name="Expired_x0020_or_x0020_superseded_x0020_date" ma:index="12" nillable="true" ma:displayName="Start date of retention period" ma:description="The date the record expires or is superseded and from which retention is calculated." ma:format="DateOnly" ma:internalName="Expired_x0020_or_x0020_superseded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b328bda-8d4a-4676-9dcc-06ece99a7f63"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Expired_x0020_or_x0020_superseded_x0020_date xmlns="c10977b7-92b9-4299-ae05-b29d8274bb62" xsi:nil="true"/>
    <TaxCatchAll xmlns="c10977b7-92b9-4299-ae05-b29d8274bb62">
      <Value>10</Value>
    </TaxCatchAll>
    <df9252e2a04c47ca90526ed0e8a7e706 xmlns="c10977b7-92b9-4299-ae05-b29d8274bb62">
      <Terms xmlns="http://schemas.microsoft.com/office/infopath/2007/PartnerControls">
        <TermInfo xmlns="http://schemas.microsoft.com/office/infopath/2007/PartnerControls">
          <TermName xmlns="http://schemas.microsoft.com/office/infopath/2007/PartnerControls">6.19 Budget Books ((use end end of financial year to which records relate)</TermName>
          <TermId xmlns="http://schemas.microsoft.com/office/infopath/2007/PartnerControls">93d156ce-cb83-4d08-ba6a-b7868ed6c9e6</TermId>
        </TermInfo>
      </Terms>
    </df9252e2a04c47ca90526ed0e8a7e706>
    <_dlc_DocId xmlns="4b328bda-8d4a-4676-9dcc-06ece99a7f63">H5XUJKCY6AP7-2053300414-661223</_dlc_DocId>
    <_dlc_DocIdUrl xmlns="4b328bda-8d4a-4676-9dcc-06ece99a7f63">
      <Url>https://derby4.sharepoint.com/sites/Accountancy/_layouts/15/DocIdRedir.aspx?ID=H5XUJKCY6AP7-2053300414-661223</Url>
      <Description>H5XUJKCY6AP7-2053300414-661223</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C067BAB-DEDC-4E3A-A339-F6CFAF7BBC1A}">
  <ds:schemaRefs>
    <ds:schemaRef ds:uri="http://schemas.microsoft.com/sharepoint/v3/contenttype/forms"/>
  </ds:schemaRefs>
</ds:datastoreItem>
</file>

<file path=customXml/itemProps2.xml><?xml version="1.0" encoding="utf-8"?>
<ds:datastoreItem xmlns:ds="http://schemas.openxmlformats.org/officeDocument/2006/customXml" ds:itemID="{4EEDE4A7-C90A-4F49-8F84-15ADF1D052F1}">
  <ds:schemaRefs>
    <ds:schemaRef ds:uri="Microsoft.SharePoint.Taxonomy.ContentTypeSync"/>
  </ds:schemaRefs>
</ds:datastoreItem>
</file>

<file path=customXml/itemProps3.xml><?xml version="1.0" encoding="utf-8"?>
<ds:datastoreItem xmlns:ds="http://schemas.openxmlformats.org/officeDocument/2006/customXml" ds:itemID="{F8D3AC79-3AA6-42AD-BCE9-770EBD2E59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0977b7-92b9-4299-ae05-b29d8274bb62"/>
    <ds:schemaRef ds:uri="4b328bda-8d4a-4676-9dcc-06ece99a7f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0CF482D-1ED6-485A-8E29-B0F66945713A}">
  <ds:schemaRefs>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4b328bda-8d4a-4676-9dcc-06ece99a7f63"/>
    <ds:schemaRef ds:uri="http://www.w3.org/XML/1998/namespace"/>
    <ds:schemaRef ds:uri="http://schemas.microsoft.com/office/infopath/2007/PartnerControls"/>
    <ds:schemaRef ds:uri="c10977b7-92b9-4299-ae05-b29d8274bb62"/>
    <ds:schemaRef ds:uri="http://purl.org/dc/terms/"/>
  </ds:schemaRefs>
</ds:datastoreItem>
</file>

<file path=customXml/itemProps5.xml><?xml version="1.0" encoding="utf-8"?>
<ds:datastoreItem xmlns:ds="http://schemas.openxmlformats.org/officeDocument/2006/customXml" ds:itemID="{A8296373-D866-4BE9-A1D8-C674BE8BABF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PVI Early Years</vt:lpstr>
      <vt:lpstr>Schools Summary</vt:lpstr>
      <vt:lpstr>Schools Block</vt:lpstr>
      <vt:lpstr>Early Years</vt:lpstr>
      <vt:lpstr>Special &amp; PRU</vt:lpstr>
      <vt:lpstr>ERS</vt:lpstr>
      <vt:lpstr>High Needs</vt:lpstr>
      <vt:lpstr>Adjusted Factors</vt:lpstr>
      <vt:lpstr>ISB new</vt:lpstr>
      <vt:lpstr>De-del</vt:lpstr>
      <vt:lpstr>3&amp;4 Yo</vt:lpstr>
      <vt:lpstr>Additional Support 2 yo</vt:lpstr>
      <vt:lpstr>Working 2 yo</vt:lpstr>
      <vt:lpstr>Under 2s</vt:lpstr>
      <vt:lpstr>Combined Lookup</vt:lpstr>
      <vt:lpstr>Schools Lookup</vt:lpstr>
      <vt:lpstr>PVI Provider Lookup</vt:lpstr>
      <vt:lpstr>Special Schools List</vt:lpstr>
      <vt:lpstr>Lookup list backup</vt:lpstr>
      <vt:lpstr>Factor Values</vt:lpstr>
      <vt:lpstr>'PVI Early Years'!Early_Years_Budget_Detail_2024_25</vt:lpstr>
      <vt:lpstr>Early_Years_Budget_Detail_2024_25</vt:lpstr>
      <vt:lpstr>Main_Summary</vt:lpstr>
      <vt:lpstr>'Early Years'!Print_Area</vt:lpstr>
      <vt:lpstr>'PVI Early Years'!Print_Area</vt:lpstr>
      <vt:lpstr>'Schools Block'!Print_Area</vt:lpstr>
      <vt:lpstr>'Special &amp; PRU'!Print_Area</vt:lpstr>
      <vt:lpstr>Schools_Block_Budget_Detail_2024_25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Holmes</dc:creator>
  <cp:keywords/>
  <dc:description/>
  <cp:lastModifiedBy>April Lunn</cp:lastModifiedBy>
  <cp:revision/>
  <cp:lastPrinted>2025-02-18T09:15:48Z</cp:lastPrinted>
  <dcterms:created xsi:type="dcterms:W3CDTF">2023-10-27T11:11:48Z</dcterms:created>
  <dcterms:modified xsi:type="dcterms:W3CDTF">2025-08-07T10:03:43Z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100</vt:r8>
  </property>
  <property fmtid="{D5CDD505-2E9C-101B-9397-08002B2CF9AE}" pid="3" name="MediaServiceImageTags">
    <vt:lpwstr/>
  </property>
  <property fmtid="{D5CDD505-2E9C-101B-9397-08002B2CF9AE}" pid="4" name="ContentTypeId">
    <vt:lpwstr>0x01010004BD521946872F46B4F2D0AF3F92529C00153A98E735A6A34188CFE7DBA3B487D9</vt:lpwstr>
  </property>
  <property fmtid="{D5CDD505-2E9C-101B-9397-08002B2CF9AE}" pid="5" name="lcf76f155ced4ddcb4097134ff3c332f">
    <vt:lpwstr/>
  </property>
  <property fmtid="{D5CDD505-2E9C-101B-9397-08002B2CF9AE}" pid="6" name="DCCClassification">
    <vt:lpwstr>OFFICIAL</vt:lpwstr>
  </property>
  <property fmtid="{D5CDD505-2E9C-101B-9397-08002B2CF9AE}" pid="7" name="_dlc_DocIdItemGuid">
    <vt:lpwstr>5c5799b6-d6aa-479c-b03b-afcc4ec12015</vt:lpwstr>
  </property>
  <property fmtid="{D5CDD505-2E9C-101B-9397-08002B2CF9AE}" pid="8" name="Accountancy Document Type">
    <vt:lpwstr>10;#6.19 Budget Books ((use end end of financial year to which records relate)|93d156ce-cb83-4d08-ba6a-b7868ed6c9e6</vt:lpwstr>
  </property>
  <property fmtid="{D5CDD505-2E9C-101B-9397-08002B2CF9AE}" pid="9" name="Classification">
    <vt:lpwstr>OFFICIAL</vt:lpwstr>
  </property>
  <property fmtid="{D5CDD505-2E9C-101B-9397-08002B2CF9AE}" pid="10" name="TitusGUID">
    <vt:lpwstr>824d2da9-5ca0-41cb-9ff2-4de9ebf057eb</vt:lpwstr>
  </property>
  <property fmtid="{D5CDD505-2E9C-101B-9397-08002B2CF9AE}" pid="11" name="SharedWithUsers">
    <vt:lpwstr>107;#Jemma Gaunt;#89;#Janice Hadfield;#133;#Chris Holmes</vt:lpwstr>
  </property>
  <property fmtid="{D5CDD505-2E9C-101B-9397-08002B2CF9AE}" pid="12" name="Accountancy_x0020_Document_x0020_Type">
    <vt:lpwstr>10;#6.19 Budget Books ((use end end of financial year to which records relate)|93d156ce-cb83-4d08-ba6a-b7868ed6c9e6</vt:lpwstr>
  </property>
</Properties>
</file>